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publicadministrationis-my.sharepoint.com/personal/joaquin_m_belart_natt_is/Documents/lmutbod_itt_2024/Production_summer_2024/hexagon/"/>
    </mc:Choice>
  </mc:AlternateContent>
  <xr:revisionPtr revIDLastSave="1025" documentId="8_{B1C8DCDC-62DC-4000-A379-7EF134F44098}" xr6:coauthVersionLast="47" xr6:coauthVersionMax="47" xr10:uidLastSave="{82A42BFE-7933-4034-8701-FC7E272D0F61}"/>
  <bookViews>
    <workbookView xWindow="754" yWindow="754" windowWidth="19749" windowHeight="11486" xr2:uid="{5C457849-9EC1-4223-BF79-58A02769592D}"/>
  </bookViews>
  <sheets>
    <sheet name="Overview" sheetId="1" r:id="rId1"/>
    <sheet name="Final Disc delivery" sheetId="4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44" i="1" l="1"/>
  <c r="L44" i="1"/>
  <c r="E6" i="1"/>
  <c r="M10" i="1"/>
  <c r="R10" i="1" l="1"/>
  <c r="O10" i="1"/>
  <c r="O12" i="1"/>
  <c r="W10" i="1" l="1"/>
  <c r="X10" i="1" s="1"/>
  <c r="W12" i="1"/>
  <c r="O13" i="1"/>
  <c r="Q13" i="1" s="1"/>
  <c r="O14" i="1"/>
  <c r="Q14" i="1" s="1"/>
  <c r="O15" i="1"/>
  <c r="O16" i="1"/>
  <c r="Q16" i="1" s="1"/>
  <c r="O17" i="1"/>
  <c r="Q17" i="1" s="1"/>
  <c r="O18" i="1"/>
  <c r="Q18" i="1" s="1"/>
  <c r="O19" i="1"/>
  <c r="Q19" i="1" s="1"/>
  <c r="O20" i="1"/>
  <c r="Q20" i="1" s="1"/>
  <c r="O21" i="1"/>
  <c r="Q21" i="1" s="1"/>
  <c r="O22" i="1"/>
  <c r="Q22" i="1" s="1"/>
  <c r="O23" i="1"/>
  <c r="Q23" i="1" s="1"/>
  <c r="O24" i="1"/>
  <c r="Q24" i="1" s="1"/>
  <c r="O25" i="1"/>
  <c r="Q25" i="1" s="1"/>
  <c r="O26" i="1"/>
  <c r="Q26" i="1" s="1"/>
  <c r="O27" i="1"/>
  <c r="O28" i="1"/>
  <c r="O29" i="1"/>
  <c r="O30" i="1"/>
  <c r="O31" i="1"/>
  <c r="O32" i="1"/>
  <c r="O33" i="1"/>
  <c r="O34" i="1"/>
  <c r="O35" i="1"/>
  <c r="O36" i="1"/>
  <c r="O37" i="1"/>
  <c r="O38" i="1"/>
  <c r="O39" i="1"/>
  <c r="O40" i="1"/>
  <c r="Q40" i="1" s="1"/>
  <c r="O41" i="1"/>
  <c r="Q41" i="1" s="1"/>
  <c r="M13" i="1"/>
  <c r="M12" i="1"/>
  <c r="M14" i="1"/>
  <c r="M15" i="1"/>
  <c r="M16" i="1"/>
  <c r="M17" i="1"/>
  <c r="M18" i="1"/>
  <c r="M19" i="1"/>
  <c r="M20" i="1"/>
  <c r="R20" i="1" s="1"/>
  <c r="M21" i="1"/>
  <c r="R21" i="1" s="1"/>
  <c r="M22" i="1"/>
  <c r="R22" i="1" s="1"/>
  <c r="M23" i="1"/>
  <c r="M24" i="1"/>
  <c r="M25" i="1"/>
  <c r="M26" i="1"/>
  <c r="M27" i="1"/>
  <c r="M28" i="1"/>
  <c r="M29" i="1"/>
  <c r="M30" i="1"/>
  <c r="M31" i="1"/>
  <c r="M32" i="1"/>
  <c r="M33" i="1"/>
  <c r="M34" i="1"/>
  <c r="M35" i="1"/>
  <c r="M36" i="1"/>
  <c r="M37" i="1"/>
  <c r="M38" i="1"/>
  <c r="M39" i="1"/>
  <c r="M40" i="1"/>
  <c r="M41" i="1"/>
  <c r="X12" i="1" l="1"/>
  <c r="M46" i="1" a="1"/>
  <c r="M46" i="1" s="1"/>
  <c r="M47" i="1" s="1"/>
  <c r="M48" i="1" s="1" a="1"/>
  <c r="M48" i="1" s="1"/>
  <c r="M49" i="1" s="1" a="1"/>
  <c r="M49" i="1" s="1"/>
  <c r="R25" i="1"/>
  <c r="R24" i="1"/>
  <c r="R23" i="1"/>
  <c r="Q15" i="1"/>
  <c r="R15" i="1" s="1"/>
  <c r="R41" i="1"/>
  <c r="R19" i="1"/>
  <c r="R40" i="1"/>
  <c r="R18" i="1"/>
  <c r="Q39" i="1"/>
  <c r="R39" i="1" s="1"/>
  <c r="R17" i="1"/>
  <c r="Q38" i="1"/>
  <c r="R38" i="1" s="1"/>
  <c r="R16" i="1"/>
  <c r="Q37" i="1"/>
  <c r="R37" i="1" s="1"/>
  <c r="Q36" i="1"/>
  <c r="R36" i="1" s="1"/>
  <c r="Q35" i="1"/>
  <c r="R35" i="1" s="1"/>
  <c r="Q34" i="1"/>
  <c r="R34" i="1" s="1"/>
  <c r="Q33" i="1"/>
  <c r="R33" i="1" s="1"/>
  <c r="Q32" i="1"/>
  <c r="R32" i="1" s="1"/>
  <c r="Q31" i="1"/>
  <c r="R31" i="1" s="1"/>
  <c r="Q30" i="1"/>
  <c r="R30" i="1" s="1"/>
  <c r="Q29" i="1"/>
  <c r="R29" i="1" s="1"/>
  <c r="Q28" i="1"/>
  <c r="R28" i="1" s="1"/>
  <c r="R26" i="1"/>
  <c r="R14" i="1"/>
  <c r="R13" i="1"/>
  <c r="Q27" i="1"/>
  <c r="R27" i="1" s="1"/>
  <c r="W41" i="1"/>
  <c r="X41" i="1" s="1"/>
  <c r="W40" i="1"/>
  <c r="X40" i="1" s="1"/>
  <c r="Q12" i="1"/>
  <c r="R12" i="1" s="1"/>
  <c r="W28" i="1"/>
  <c r="X28" i="1" s="1"/>
  <c r="W30" i="1"/>
  <c r="X30" i="1" s="1"/>
  <c r="W29" i="1"/>
  <c r="X29" i="1" s="1"/>
  <c r="W27" i="1"/>
  <c r="X27" i="1" s="1"/>
  <c r="W26" i="1"/>
  <c r="X26" i="1" s="1"/>
  <c r="W25" i="1"/>
  <c r="X25" i="1" s="1"/>
  <c r="W38" i="1"/>
  <c r="X38" i="1" s="1"/>
  <c r="W37" i="1"/>
  <c r="X37" i="1" s="1"/>
  <c r="W36" i="1"/>
  <c r="X36" i="1" s="1"/>
  <c r="W32" i="1"/>
  <c r="X32" i="1" s="1"/>
  <c r="W31" i="1"/>
  <c r="X31" i="1" s="1"/>
  <c r="W24" i="1"/>
  <c r="X24" i="1" s="1"/>
  <c r="W23" i="1"/>
  <c r="X23" i="1" s="1"/>
  <c r="W22" i="1"/>
  <c r="X22" i="1" s="1"/>
  <c r="W21" i="1"/>
  <c r="X21" i="1" s="1"/>
  <c r="W20" i="1"/>
  <c r="X20" i="1" s="1"/>
  <c r="W16" i="1"/>
  <c r="X16" i="1" s="1"/>
  <c r="W15" i="1"/>
  <c r="X15" i="1" s="1"/>
  <c r="W14" i="1"/>
  <c r="X14" i="1" s="1"/>
  <c r="W19" i="1"/>
  <c r="X19" i="1" s="1"/>
  <c r="W18" i="1"/>
  <c r="X18" i="1" s="1"/>
  <c r="W39" i="1"/>
  <c r="X39" i="1" s="1"/>
  <c r="W17" i="1"/>
  <c r="X17" i="1" s="1"/>
  <c r="W35" i="1"/>
  <c r="X35" i="1" s="1"/>
  <c r="W13" i="1"/>
  <c r="X13" i="1" s="1"/>
  <c r="W34" i="1"/>
  <c r="X34" i="1" s="1"/>
  <c r="W33" i="1"/>
  <c r="X33" i="1" s="1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2">
    <metadataType name="XLDAPR" minSupportedVersion="120000" copy="1" pasteAll="1" pasteValues="1" merge="1" splitFirst="1" rowColShift="1" clearFormats="1" clearComments="1" assign="1" coerce="1" cellMeta="1"/>
    <metadataType name="XLRICHVALUE" minSupportedVersion="120000" copy="1" pasteAll="1" pasteValues="1" merge="1" splitFirst="1" rowColShift="1" clearFormats="1" clearComments="1" assign="1" coerce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futureMetadata name="XLRICHVALUE" count="30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  <bk>
      <extLst>
        <ext uri="{3e2802c4-a4d2-4d8b-9148-e3be6c30e623}">
          <xlrd:rvb i="2"/>
        </ext>
      </extLst>
    </bk>
    <bk>
      <extLst>
        <ext uri="{3e2802c4-a4d2-4d8b-9148-e3be6c30e623}">
          <xlrd:rvb i="3"/>
        </ext>
      </extLst>
    </bk>
    <bk>
      <extLst>
        <ext uri="{3e2802c4-a4d2-4d8b-9148-e3be6c30e623}">
          <xlrd:rvb i="4"/>
        </ext>
      </extLst>
    </bk>
    <bk>
      <extLst>
        <ext uri="{3e2802c4-a4d2-4d8b-9148-e3be6c30e623}">
          <xlrd:rvb i="5"/>
        </ext>
      </extLst>
    </bk>
    <bk>
      <extLst>
        <ext uri="{3e2802c4-a4d2-4d8b-9148-e3be6c30e623}">
          <xlrd:rvb i="6"/>
        </ext>
      </extLst>
    </bk>
    <bk>
      <extLst>
        <ext uri="{3e2802c4-a4d2-4d8b-9148-e3be6c30e623}">
          <xlrd:rvb i="7"/>
        </ext>
      </extLst>
    </bk>
    <bk>
      <extLst>
        <ext uri="{3e2802c4-a4d2-4d8b-9148-e3be6c30e623}">
          <xlrd:rvb i="8"/>
        </ext>
      </extLst>
    </bk>
    <bk>
      <extLst>
        <ext uri="{3e2802c4-a4d2-4d8b-9148-e3be6c30e623}">
          <xlrd:rvb i="9"/>
        </ext>
      </extLst>
    </bk>
    <bk>
      <extLst>
        <ext uri="{3e2802c4-a4d2-4d8b-9148-e3be6c30e623}">
          <xlrd:rvb i="10"/>
        </ext>
      </extLst>
    </bk>
    <bk>
      <extLst>
        <ext uri="{3e2802c4-a4d2-4d8b-9148-e3be6c30e623}">
          <xlrd:rvb i="11"/>
        </ext>
      </extLst>
    </bk>
    <bk>
      <extLst>
        <ext uri="{3e2802c4-a4d2-4d8b-9148-e3be6c30e623}">
          <xlrd:rvb i="12"/>
        </ext>
      </extLst>
    </bk>
    <bk>
      <extLst>
        <ext uri="{3e2802c4-a4d2-4d8b-9148-e3be6c30e623}">
          <xlrd:rvb i="13"/>
        </ext>
      </extLst>
    </bk>
    <bk>
      <extLst>
        <ext uri="{3e2802c4-a4d2-4d8b-9148-e3be6c30e623}">
          <xlrd:rvb i="14"/>
        </ext>
      </extLst>
    </bk>
    <bk>
      <extLst>
        <ext uri="{3e2802c4-a4d2-4d8b-9148-e3be6c30e623}">
          <xlrd:rvb i="15"/>
        </ext>
      </extLst>
    </bk>
    <bk>
      <extLst>
        <ext uri="{3e2802c4-a4d2-4d8b-9148-e3be6c30e623}">
          <xlrd:rvb i="16"/>
        </ext>
      </extLst>
    </bk>
    <bk>
      <extLst>
        <ext uri="{3e2802c4-a4d2-4d8b-9148-e3be6c30e623}">
          <xlrd:rvb i="17"/>
        </ext>
      </extLst>
    </bk>
    <bk>
      <extLst>
        <ext uri="{3e2802c4-a4d2-4d8b-9148-e3be6c30e623}">
          <xlrd:rvb i="18"/>
        </ext>
      </extLst>
    </bk>
    <bk>
      <extLst>
        <ext uri="{3e2802c4-a4d2-4d8b-9148-e3be6c30e623}">
          <xlrd:rvb i="19"/>
        </ext>
      </extLst>
    </bk>
    <bk>
      <extLst>
        <ext uri="{3e2802c4-a4d2-4d8b-9148-e3be6c30e623}">
          <xlrd:rvb i="20"/>
        </ext>
      </extLst>
    </bk>
    <bk>
      <extLst>
        <ext uri="{3e2802c4-a4d2-4d8b-9148-e3be6c30e623}">
          <xlrd:rvb i="21"/>
        </ext>
      </extLst>
    </bk>
    <bk>
      <extLst>
        <ext uri="{3e2802c4-a4d2-4d8b-9148-e3be6c30e623}">
          <xlrd:rvb i="22"/>
        </ext>
      </extLst>
    </bk>
    <bk>
      <extLst>
        <ext uri="{3e2802c4-a4d2-4d8b-9148-e3be6c30e623}">
          <xlrd:rvb i="23"/>
        </ext>
      </extLst>
    </bk>
    <bk>
      <extLst>
        <ext uri="{3e2802c4-a4d2-4d8b-9148-e3be6c30e623}">
          <xlrd:rvb i="24"/>
        </ext>
      </extLst>
    </bk>
    <bk>
      <extLst>
        <ext uri="{3e2802c4-a4d2-4d8b-9148-e3be6c30e623}">
          <xlrd:rvb i="25"/>
        </ext>
      </extLst>
    </bk>
    <bk>
      <extLst>
        <ext uri="{3e2802c4-a4d2-4d8b-9148-e3be6c30e623}">
          <xlrd:rvb i="26"/>
        </ext>
      </extLst>
    </bk>
    <bk>
      <extLst>
        <ext uri="{3e2802c4-a4d2-4d8b-9148-e3be6c30e623}">
          <xlrd:rvb i="27"/>
        </ext>
      </extLst>
    </bk>
    <bk>
      <extLst>
        <ext uri="{3e2802c4-a4d2-4d8b-9148-e3be6c30e623}">
          <xlrd:rvb i="28"/>
        </ext>
      </extLst>
    </bk>
    <bk>
      <extLst>
        <ext uri="{3e2802c4-a4d2-4d8b-9148-e3be6c30e623}">
          <xlrd:rvb i="29"/>
        </ext>
      </extLst>
    </bk>
  </futureMetadata>
  <cellMetadata count="1">
    <bk>
      <rc t="1" v="0"/>
    </bk>
  </cellMetadata>
  <valueMetadata count="30">
    <bk>
      <rc t="2" v="0"/>
    </bk>
    <bk>
      <rc t="2" v="1"/>
    </bk>
    <bk>
      <rc t="2" v="2"/>
    </bk>
    <bk>
      <rc t="2" v="3"/>
    </bk>
    <bk>
      <rc t="2" v="4"/>
    </bk>
    <bk>
      <rc t="2" v="5"/>
    </bk>
    <bk>
      <rc t="2" v="6"/>
    </bk>
    <bk>
      <rc t="2" v="7"/>
    </bk>
    <bk>
      <rc t="2" v="8"/>
    </bk>
    <bk>
      <rc t="2" v="9"/>
    </bk>
    <bk>
      <rc t="2" v="10"/>
    </bk>
    <bk>
      <rc t="2" v="11"/>
    </bk>
    <bk>
      <rc t="2" v="12"/>
    </bk>
    <bk>
      <rc t="2" v="13"/>
    </bk>
    <bk>
      <rc t="2" v="14"/>
    </bk>
    <bk>
      <rc t="2" v="15"/>
    </bk>
    <bk>
      <rc t="2" v="16"/>
    </bk>
    <bk>
      <rc t="2" v="17"/>
    </bk>
    <bk>
      <rc t="2" v="18"/>
    </bk>
    <bk>
      <rc t="2" v="19"/>
    </bk>
    <bk>
      <rc t="2" v="20"/>
    </bk>
    <bk>
      <rc t="2" v="21"/>
    </bk>
    <bk>
      <rc t="2" v="22"/>
    </bk>
    <bk>
      <rc t="2" v="23"/>
    </bk>
    <bk>
      <rc t="2" v="24"/>
    </bk>
    <bk>
      <rc t="2" v="25"/>
    </bk>
    <bk>
      <rc t="2" v="26"/>
    </bk>
    <bk>
      <rc t="2" v="27"/>
    </bk>
    <bk>
      <rc t="2" v="28"/>
    </bk>
    <bk>
      <rc t="2" v="29"/>
    </bk>
  </valueMetadata>
</metadata>
</file>

<file path=xl/sharedStrings.xml><?xml version="1.0" encoding="utf-8"?>
<sst xmlns="http://schemas.openxmlformats.org/spreadsheetml/2006/main" count="114" uniqueCount="92">
  <si>
    <t>Weekly status:</t>
  </si>
  <si>
    <t>Digital Aerial Ortho Imagery in Iceland</t>
  </si>
  <si>
    <t>yes</t>
  </si>
  <si>
    <t>Public Tender</t>
  </si>
  <si>
    <t>no</t>
  </si>
  <si>
    <t>Mapping Year</t>
  </si>
  <si>
    <t>partial</t>
  </si>
  <si>
    <t>Lot</t>
  </si>
  <si>
    <t>Supplier</t>
  </si>
  <si>
    <t>Hexagon</t>
  </si>
  <si>
    <t>Lot Price</t>
  </si>
  <si>
    <t>ISK excl. VAT</t>
  </si>
  <si>
    <t>Area of Lot</t>
  </si>
  <si>
    <t>km2</t>
  </si>
  <si>
    <t>During Mapping Season 2024</t>
  </si>
  <si>
    <t>After Mapping Season</t>
  </si>
  <si>
    <t>EXAMPLE</t>
  </si>
  <si>
    <t>EXAMPLE BLOCK</t>
  </si>
  <si>
    <t>OY-CKP</t>
  </si>
  <si>
    <t>DMC4</t>
  </si>
  <si>
    <t>###</t>
  </si>
  <si>
    <t>Block ID</t>
  </si>
  <si>
    <t>Thumbnail</t>
  </si>
  <si>
    <t>First exposure date</t>
  </si>
  <si>
    <t>Last exposure date</t>
  </si>
  <si>
    <t># imges total</t>
  </si>
  <si>
    <t># images planned</t>
  </si>
  <si>
    <t>Plane ID</t>
  </si>
  <si>
    <t>Camera ID</t>
  </si>
  <si>
    <t>Survey summary delivery date FTP</t>
  </si>
  <si>
    <t>Survey summary approved</t>
  </si>
  <si>
    <t>Invoice #</t>
  </si>
  <si>
    <t>km2 in block2</t>
  </si>
  <si>
    <t>% block delivered</t>
  </si>
  <si>
    <t>Block rate ISK</t>
  </si>
  <si>
    <r>
      <t xml:space="preserve">Block price </t>
    </r>
    <r>
      <rPr>
        <sz val="11"/>
        <color theme="1"/>
        <rFont val="Aptos Narrow"/>
        <family val="2"/>
        <scheme val="minor"/>
      </rPr>
      <t>Total</t>
    </r>
  </si>
  <si>
    <t># Late penalty days</t>
  </si>
  <si>
    <t>Penalty ISK</t>
  </si>
  <si>
    <t>To invoice (VAT excl.) - max. 50% block price</t>
  </si>
  <si>
    <t>Final orthos/AT delivery date FTP</t>
  </si>
  <si>
    <t>Ortho tile/AT delivery approved</t>
  </si>
  <si>
    <t># penalty rejected deliveries &gt;2x</t>
  </si>
  <si>
    <t># penalty days</t>
  </si>
  <si>
    <t>Penalty ISK2</t>
  </si>
  <si>
    <t>To Invoice  (excl. VAT) - max. 30% block price</t>
  </si>
  <si>
    <t>Invoice Numb.</t>
  </si>
  <si>
    <t>RVK</t>
  </si>
  <si>
    <t>SW45_27</t>
  </si>
  <si>
    <t>NW49_31</t>
  </si>
  <si>
    <t>SW51_27</t>
  </si>
  <si>
    <t>SW52_23</t>
  </si>
  <si>
    <t>NW51_40</t>
  </si>
  <si>
    <t>SW56_15</t>
  </si>
  <si>
    <t>SW62_19</t>
  </si>
  <si>
    <t>SW62_15</t>
  </si>
  <si>
    <t>NW63_37</t>
  </si>
  <si>
    <t>HI74_27</t>
  </si>
  <si>
    <t>HI74_23</t>
  </si>
  <si>
    <t>HI74_19</t>
  </si>
  <si>
    <t>SE74_15</t>
  </si>
  <si>
    <t>NE81_39</t>
  </si>
  <si>
    <t>NE80_35</t>
  </si>
  <si>
    <t>HI80_31</t>
  </si>
  <si>
    <t>16.8.2025</t>
  </si>
  <si>
    <t>DMC4S</t>
  </si>
  <si>
    <t>SE79_20</t>
  </si>
  <si>
    <t>SE79_16</t>
  </si>
  <si>
    <t>17.8.2025</t>
  </si>
  <si>
    <t>NE86_39</t>
  </si>
  <si>
    <t>NE86_35</t>
  </si>
  <si>
    <t>NE86_31</t>
  </si>
  <si>
    <t>SE92_35</t>
  </si>
  <si>
    <t>SE92_31</t>
  </si>
  <si>
    <t>SE92_25</t>
  </si>
  <si>
    <t>NW67_37</t>
  </si>
  <si>
    <t>NW63_31</t>
  </si>
  <si>
    <t>NW67_31</t>
  </si>
  <si>
    <t>HI68_19</t>
  </si>
  <si>
    <t>NW51_44</t>
  </si>
  <si>
    <t>Bonus</t>
  </si>
  <si>
    <t>Total</t>
  </si>
  <si>
    <t>Percentage</t>
  </si>
  <si>
    <t>Eligible for bonus?</t>
  </si>
  <si>
    <t>Bonus amount on 15 Sept</t>
  </si>
  <si>
    <t>million ISK</t>
  </si>
  <si>
    <t>Billable to NLSI after 15 September 2024</t>
  </si>
  <si>
    <t>Contract Price</t>
  </si>
  <si>
    <t>km2 mapped</t>
  </si>
  <si>
    <t>km2 in lot</t>
  </si>
  <si>
    <t>% completed</t>
  </si>
  <si>
    <t># penalty days- delivery 3</t>
  </si>
  <si>
    <t>To invoice ISK (excl. VAT)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</si>
</sst>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\.m\.yyyy;@"/>
  </numFmts>
  <fonts count="18" x14ac:knownFonts="1">
    <font>
      <sz val="11"/>
      <color theme="1"/>
      <name val="Aptos Narrow"/>
      <family val="2"/>
      <scheme val="minor"/>
    </font>
    <font>
      <b/>
      <sz val="25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5"/>
      <color theme="1"/>
      <name val="Aptos Narrow"/>
      <family val="2"/>
      <scheme val="minor"/>
    </font>
    <font>
      <sz val="15"/>
      <color theme="1"/>
      <name val="Aptos Narrow"/>
      <family val="2"/>
      <scheme val="minor"/>
    </font>
    <font>
      <sz val="11"/>
      <color theme="2" tint="-0.249977111117893"/>
      <name val="Aptos Narrow"/>
      <family val="2"/>
      <scheme val="minor"/>
    </font>
    <font>
      <b/>
      <sz val="11"/>
      <color theme="2" tint="-0.249977111117893"/>
      <name val="Aptos Narrow"/>
      <family val="2"/>
      <scheme val="minor"/>
    </font>
    <font>
      <b/>
      <sz val="20"/>
      <color theme="1"/>
      <name val="Aptos Narrow"/>
      <family val="2"/>
      <scheme val="minor"/>
    </font>
    <font>
      <sz val="8"/>
      <name val="Aptos Narrow"/>
      <family val="2"/>
      <scheme val="minor"/>
    </font>
    <font>
      <b/>
      <sz val="23"/>
      <color theme="1"/>
      <name val="Aptos Narrow"/>
      <family val="2"/>
      <scheme val="minor"/>
    </font>
    <font>
      <sz val="1"/>
      <color theme="1"/>
      <name val="Aptos Narrow"/>
      <family val="2"/>
      <scheme val="minor"/>
    </font>
    <font>
      <b/>
      <sz val="15"/>
      <color theme="2" tint="-0.249977111117893"/>
      <name val="Aptos Narrow"/>
      <family val="2"/>
      <scheme val="minor"/>
    </font>
    <font>
      <sz val="20"/>
      <color theme="1"/>
      <name val="Aptos Narrow"/>
      <family val="2"/>
      <scheme val="minor"/>
    </font>
    <font>
      <b/>
      <sz val="15"/>
      <color theme="0" tint="-0.499984740745262"/>
      <name val="Aptos Narrow"/>
      <family val="2"/>
      <scheme val="minor"/>
    </font>
    <font>
      <sz val="11"/>
      <color theme="0" tint="-0.499984740745262"/>
      <name val="Aptos Narrow"/>
      <family val="2"/>
      <scheme val="minor"/>
    </font>
    <font>
      <b/>
      <sz val="11"/>
      <color theme="0" tint="-0.499984740745262"/>
      <name val="Aptos Narrow"/>
      <family val="2"/>
      <scheme val="minor"/>
    </font>
    <font>
      <sz val="10"/>
      <color rgb="FF000000"/>
      <name val="Aptos Narrow"/>
      <charset val="1"/>
    </font>
    <font>
      <sz val="10"/>
      <color theme="1"/>
      <name val="Aptos Narrow"/>
      <charset val="1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89999084444715716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2" fillId="0" borderId="0" xfId="0" applyFont="1" applyAlignment="1">
      <alignment wrapText="1"/>
    </xf>
    <xf numFmtId="0" fontId="5" fillId="0" borderId="0" xfId="0" applyFont="1"/>
    <xf numFmtId="0" fontId="0" fillId="0" borderId="0" xfId="0" applyAlignment="1">
      <alignment horizontal="center"/>
    </xf>
    <xf numFmtId="0" fontId="2" fillId="0" borderId="0" xfId="0" applyFont="1"/>
    <xf numFmtId="0" fontId="1" fillId="0" borderId="0" xfId="0" applyFont="1" applyAlignment="1">
      <alignment horizontal="right"/>
    </xf>
    <xf numFmtId="0" fontId="7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6" fillId="0" borderId="0" xfId="0" applyFont="1"/>
    <xf numFmtId="0" fontId="10" fillId="0" borderId="0" xfId="0" applyFont="1"/>
    <xf numFmtId="0" fontId="6" fillId="0" borderId="1" xfId="0" applyFont="1" applyBorder="1"/>
    <xf numFmtId="0" fontId="5" fillId="0" borderId="2" xfId="0" applyFont="1" applyBorder="1"/>
    <xf numFmtId="0" fontId="5" fillId="0" borderId="3" xfId="0" applyFont="1" applyBorder="1"/>
    <xf numFmtId="0" fontId="6" fillId="0" borderId="4" xfId="0" applyFont="1" applyBorder="1"/>
    <xf numFmtId="0" fontId="5" fillId="0" borderId="5" xfId="0" applyFont="1" applyBorder="1"/>
    <xf numFmtId="0" fontId="6" fillId="0" borderId="6" xfId="0" applyFont="1" applyBorder="1"/>
    <xf numFmtId="0" fontId="5" fillId="0" borderId="7" xfId="0" applyFont="1" applyBorder="1"/>
    <xf numFmtId="0" fontId="5" fillId="0" borderId="8" xfId="0" applyFont="1" applyBorder="1"/>
    <xf numFmtId="0" fontId="6" fillId="0" borderId="0" xfId="0" applyFont="1" applyAlignment="1">
      <alignment wrapText="1"/>
    </xf>
    <xf numFmtId="0" fontId="12" fillId="0" borderId="0" xfId="0" applyFont="1" applyAlignment="1">
      <alignment horizontal="right"/>
    </xf>
    <xf numFmtId="0" fontId="3" fillId="0" borderId="0" xfId="0" applyFont="1" applyAlignment="1">
      <alignment horizontal="left"/>
    </xf>
    <xf numFmtId="3" fontId="3" fillId="0" borderId="0" xfId="0" applyNumberFormat="1" applyFont="1" applyAlignment="1">
      <alignment horizontal="left"/>
    </xf>
    <xf numFmtId="4" fontId="3" fillId="0" borderId="0" xfId="0" applyNumberFormat="1" applyFont="1" applyAlignment="1">
      <alignment horizontal="left"/>
    </xf>
    <xf numFmtId="2" fontId="0" fillId="0" borderId="0" xfId="0" applyNumberFormat="1"/>
    <xf numFmtId="4" fontId="0" fillId="0" borderId="0" xfId="0" applyNumberFormat="1"/>
    <xf numFmtId="4" fontId="0" fillId="2" borderId="0" xfId="0" applyNumberFormat="1" applyFill="1"/>
    <xf numFmtId="0" fontId="0" fillId="0" borderId="0" xfId="0" applyAlignment="1">
      <alignment horizontal="right"/>
    </xf>
    <xf numFmtId="0" fontId="11" fillId="0" borderId="0" xfId="0" applyFont="1" applyAlignment="1">
      <alignment vertical="center"/>
    </xf>
    <xf numFmtId="2" fontId="5" fillId="0" borderId="2" xfId="0" applyNumberFormat="1" applyFont="1" applyBorder="1"/>
    <xf numFmtId="4" fontId="0" fillId="3" borderId="0" xfId="0" applyNumberFormat="1" applyFill="1"/>
    <xf numFmtId="0" fontId="3" fillId="0" borderId="0" xfId="0" applyFont="1" applyAlignment="1">
      <alignment horizontal="right"/>
    </xf>
    <xf numFmtId="164" fontId="0" fillId="0" borderId="0" xfId="0" applyNumberFormat="1"/>
    <xf numFmtId="0" fontId="14" fillId="4" borderId="0" xfId="0" applyFont="1" applyFill="1"/>
    <xf numFmtId="164" fontId="15" fillId="4" borderId="9" xfId="0" applyNumberFormat="1" applyFont="1" applyFill="1" applyBorder="1" applyAlignment="1">
      <alignment wrapText="1"/>
    </xf>
    <xf numFmtId="0" fontId="15" fillId="4" borderId="9" xfId="0" applyFont="1" applyFill="1" applyBorder="1" applyAlignment="1">
      <alignment wrapText="1"/>
    </xf>
    <xf numFmtId="2" fontId="15" fillId="4" borderId="9" xfId="0" applyNumberFormat="1" applyFont="1" applyFill="1" applyBorder="1" applyAlignment="1">
      <alignment wrapText="1"/>
    </xf>
    <xf numFmtId="4" fontId="15" fillId="4" borderId="9" xfId="0" applyNumberFormat="1" applyFont="1" applyFill="1" applyBorder="1" applyAlignment="1">
      <alignment wrapText="1"/>
    </xf>
    <xf numFmtId="0" fontId="14" fillId="4" borderId="9" xfId="0" applyFont="1" applyFill="1" applyBorder="1" applyAlignment="1">
      <alignment wrapText="1"/>
    </xf>
    <xf numFmtId="0" fontId="0" fillId="0" borderId="0" xfId="0" applyAlignment="1">
      <alignment wrapText="1"/>
    </xf>
    <xf numFmtId="0" fontId="13" fillId="4" borderId="9" xfId="0" applyFont="1" applyFill="1" applyBorder="1" applyAlignment="1">
      <alignment horizontal="center" vertical="center"/>
    </xf>
    <xf numFmtId="0" fontId="15" fillId="4" borderId="9" xfId="0" applyFont="1" applyFill="1" applyBorder="1" applyAlignment="1">
      <alignment horizontal="center" vertical="center"/>
    </xf>
    <xf numFmtId="0" fontId="16" fillId="0" borderId="0" xfId="0" applyFont="1"/>
    <xf numFmtId="0" fontId="17" fillId="0" borderId="0" xfId="0" applyFont="1"/>
    <xf numFmtId="0" fontId="6" fillId="0" borderId="11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6" fillId="0" borderId="12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4" fillId="0" borderId="5" xfId="0" applyFont="1" applyBorder="1" applyAlignment="1">
      <alignment horizontal="center" vertical="center"/>
    </xf>
    <xf numFmtId="0" fontId="9" fillId="0" borderId="0" xfId="0" applyFont="1" applyAlignment="1">
      <alignment horizontal="left"/>
    </xf>
  </cellXfs>
  <cellStyles count="1">
    <cellStyle name="Normal" xfId="0" builtinId="0"/>
  </cellStyles>
  <dxfs count="2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2" tint="-0.249977111117893"/>
        <name val="Aptos Narrow"/>
        <family val="2"/>
        <scheme val="minor"/>
      </font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2" tint="-0.249977111117893"/>
        <name val="Aptos Narrow"/>
        <family val="2"/>
        <scheme val="minor"/>
      </font>
      <numFmt numFmtId="0" formatCode="General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2" tint="-0.249977111117893"/>
        <name val="Aptos Narrow"/>
        <family val="2"/>
        <scheme val="minor"/>
      </font>
      <numFmt numFmtId="0" formatCode="General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2" tint="-0.249977111117893"/>
        <name val="Aptos Narrow"/>
        <family val="2"/>
        <scheme val="minor"/>
      </font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2" tint="-0.249977111117893"/>
        <name val="Aptos Narrow"/>
        <family val="2"/>
        <scheme val="minor"/>
      </font>
      <protection locked="1" hidden="0"/>
    </dxf>
    <dxf>
      <font>
        <strike val="0"/>
        <outline val="0"/>
        <shadow val="0"/>
        <u val="none"/>
        <vertAlign val="baseline"/>
        <sz val="11"/>
        <color theme="2" tint="-0.249977111117893"/>
        <name val="Aptos Narrow"/>
        <family val="2"/>
        <scheme val="minor"/>
      </font>
      <protection locked="1" hidden="0"/>
    </dxf>
    <dxf>
      <font>
        <strike val="0"/>
        <outline val="0"/>
        <shadow val="0"/>
        <u val="none"/>
        <vertAlign val="baseline"/>
        <sz val="11"/>
        <color theme="2" tint="-0.249977111117893"/>
        <name val="Aptos Narrow"/>
        <family val="2"/>
        <scheme val="minor"/>
      </font>
      <protection locked="1" hidden="0"/>
    </dxf>
    <dxf>
      <numFmt numFmtId="4" formatCode="#,##0.00"/>
      <fill>
        <patternFill patternType="solid">
          <fgColor indexed="64"/>
          <bgColor theme="8" tint="0.79998168889431442"/>
        </patternFill>
      </fill>
      <protection locked="1" hidden="0"/>
    </dxf>
    <dxf>
      <numFmt numFmtId="4" formatCode="#,##0.00"/>
      <protection locked="1" hidden="0"/>
    </dxf>
    <dxf>
      <numFmt numFmtId="0" formatCode="General"/>
      <protection locked="1" hidden="0"/>
    </dxf>
    <dxf>
      <numFmt numFmtId="4" formatCode="#,##0.00"/>
      <protection locked="1" hidden="0"/>
    </dxf>
    <dxf>
      <numFmt numFmtId="4" formatCode="#,##0.00"/>
      <protection locked="1" hidden="0"/>
    </dxf>
    <dxf>
      <numFmt numFmtId="0" formatCode="General"/>
      <protection locked="1" hidden="0"/>
    </dxf>
    <dxf>
      <numFmt numFmtId="2" formatCode="0.00"/>
      <protection locked="1" hidden="0"/>
    </dxf>
    <dxf>
      <numFmt numFmtId="0" formatCode="General"/>
      <protection locked="1" hidden="0"/>
    </dxf>
    <dxf>
      <numFmt numFmtId="0" formatCode="General"/>
      <protection locked="1" hidden="0"/>
    </dxf>
    <dxf>
      <numFmt numFmtId="164" formatCode="d\.m\.yyyy;@"/>
    </dxf>
    <dxf>
      <numFmt numFmtId="164" formatCode="d\.m\.yyyy;@"/>
    </dxf>
    <dxf>
      <numFmt numFmtId="164" formatCode="d\.m\.yyyy;@"/>
    </dxf>
    <dxf>
      <alignment horizontal="center" vertical="bottom" textRotation="0" wrapText="0" indent="0" justifyLastLine="0" shrinkToFit="0" readingOrder="0"/>
    </dxf>
    <dxf>
      <alignment horizontal="right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general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" Target="richData/rdrichvalue.xml"/><Relationship Id="rId3" Type="http://schemas.openxmlformats.org/officeDocument/2006/relationships/theme" Target="theme/theme1.xml"/><Relationship Id="rId7" Type="http://schemas.microsoft.com/office/2022/10/relationships/richValueRel" Target="richData/richValueRel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11" Type="http://schemas.openxmlformats.org/officeDocument/2006/relationships/calcChain" Target="calcChain.xml"/><Relationship Id="rId5" Type="http://schemas.openxmlformats.org/officeDocument/2006/relationships/sharedStrings" Target="sharedStrings.xml"/><Relationship Id="rId10" Type="http://schemas.microsoft.com/office/2017/06/relationships/rdRichValueTypes" Target="richData/rdRichValueTypes.xml"/><Relationship Id="rId4" Type="http://schemas.openxmlformats.org/officeDocument/2006/relationships/styles" Target="styles.xml"/><Relationship Id="rId9" Type="http://schemas.microsoft.com/office/2017/06/relationships/rdRichValueStructure" Target="richData/rdrichvaluestructure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32.png"/><Relationship Id="rId1" Type="http://schemas.openxmlformats.org/officeDocument/2006/relationships/image" Target="../media/image3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0</xdr:row>
      <xdr:rowOff>0</xdr:rowOff>
    </xdr:from>
    <xdr:to>
      <xdr:col>9</xdr:col>
      <xdr:colOff>304800</xdr:colOff>
      <xdr:row>0</xdr:row>
      <xdr:rowOff>304800</xdr:rowOff>
    </xdr:to>
    <xdr:sp macro="" textlink="">
      <xdr:nvSpPr>
        <xdr:cNvPr id="1044" name="AutoShape 20" descr="Landmælingar Íslands">
          <a:extLst>
            <a:ext uri="{FF2B5EF4-FFF2-40B4-BE49-F238E27FC236}">
              <a16:creationId xmlns:a16="http://schemas.microsoft.com/office/drawing/2014/main" id="{18259CD3-7B9A-0D4E-B3E6-83FB76164F21}"/>
            </a:ext>
          </a:extLst>
        </xdr:cNvPr>
        <xdr:cNvSpPr>
          <a:spLocks noChangeAspect="1" noChangeArrowheads="1"/>
        </xdr:cNvSpPr>
      </xdr:nvSpPr>
      <xdr:spPr bwMode="auto">
        <a:xfrm>
          <a:off x="7843838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170676</xdr:colOff>
      <xdr:row>0</xdr:row>
      <xdr:rowOff>397430</xdr:rowOff>
    </xdr:from>
    <xdr:to>
      <xdr:col>3</xdr:col>
      <xdr:colOff>699796</xdr:colOff>
      <xdr:row>5</xdr:row>
      <xdr:rowOff>16814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28B8277-0399-A4E0-06D0-449A79AF12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4797105" y="397430"/>
          <a:ext cx="1376650" cy="1376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374196</xdr:colOff>
      <xdr:row>0</xdr:row>
      <xdr:rowOff>176894</xdr:rowOff>
    </xdr:from>
    <xdr:to>
      <xdr:col>12</xdr:col>
      <xdr:colOff>389343</xdr:colOff>
      <xdr:row>7</xdr:row>
      <xdr:rowOff>231321</xdr:rowOff>
    </xdr:to>
    <xdr:pic>
      <xdr:nvPicPr>
        <xdr:cNvPr id="3" name="Picture 2" descr="A map of a mountain&#10;&#10;Description automatically generated">
          <a:extLst>
            <a:ext uri="{FF2B5EF4-FFF2-40B4-BE49-F238E27FC236}">
              <a16:creationId xmlns:a16="http://schemas.microsoft.com/office/drawing/2014/main" id="{9F92DEA4-5D74-BA2D-7266-2B3227B85B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225393" y="176894"/>
          <a:ext cx="3621040" cy="2517320"/>
        </a:xfrm>
        <a:prstGeom prst="rect">
          <a:avLst/>
        </a:prstGeom>
      </xdr:spPr>
    </xdr:pic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26" Type="http://schemas.openxmlformats.org/officeDocument/2006/relationships/image" Target="../media/image26.png"/><Relationship Id="rId3" Type="http://schemas.openxmlformats.org/officeDocument/2006/relationships/image" Target="../media/image3.png"/><Relationship Id="rId21" Type="http://schemas.openxmlformats.org/officeDocument/2006/relationships/image" Target="../media/image21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5" Type="http://schemas.openxmlformats.org/officeDocument/2006/relationships/image" Target="../media/image25.pn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20" Type="http://schemas.openxmlformats.org/officeDocument/2006/relationships/image" Target="../media/image20.png"/><Relationship Id="rId29" Type="http://schemas.openxmlformats.org/officeDocument/2006/relationships/image" Target="../media/image29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24" Type="http://schemas.openxmlformats.org/officeDocument/2006/relationships/image" Target="../media/image24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23" Type="http://schemas.openxmlformats.org/officeDocument/2006/relationships/image" Target="../media/image23.png"/><Relationship Id="rId28" Type="http://schemas.openxmlformats.org/officeDocument/2006/relationships/image" Target="../media/image28.png"/><Relationship Id="rId10" Type="http://schemas.openxmlformats.org/officeDocument/2006/relationships/image" Target="../media/image10.png"/><Relationship Id="rId19" Type="http://schemas.openxmlformats.org/officeDocument/2006/relationships/image" Target="../media/image19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Relationship Id="rId22" Type="http://schemas.openxmlformats.org/officeDocument/2006/relationships/image" Target="../media/image22.png"/><Relationship Id="rId27" Type="http://schemas.openxmlformats.org/officeDocument/2006/relationships/image" Target="../media/image27.png"/><Relationship Id="rId30" Type="http://schemas.openxmlformats.org/officeDocument/2006/relationships/image" Target="../media/image30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30">
  <rv s="0">
    <v>0</v>
    <v>5</v>
  </rv>
  <rv s="0">
    <v>1</v>
    <v>5</v>
  </rv>
  <rv s="0">
    <v>2</v>
    <v>5</v>
  </rv>
  <rv s="0">
    <v>3</v>
    <v>5</v>
  </rv>
  <rv s="0">
    <v>4</v>
    <v>5</v>
  </rv>
  <rv s="0">
    <v>5</v>
    <v>5</v>
  </rv>
  <rv s="0">
    <v>6</v>
    <v>5</v>
  </rv>
  <rv s="0">
    <v>7</v>
    <v>5</v>
  </rv>
  <rv s="0">
    <v>8</v>
    <v>5</v>
  </rv>
  <rv s="0">
    <v>9</v>
    <v>5</v>
  </rv>
  <rv s="0">
    <v>10</v>
    <v>5</v>
  </rv>
  <rv s="0">
    <v>11</v>
    <v>5</v>
  </rv>
  <rv s="0">
    <v>12</v>
    <v>5</v>
  </rv>
  <rv s="0">
    <v>13</v>
    <v>5</v>
  </rv>
  <rv s="0">
    <v>14</v>
    <v>5</v>
  </rv>
  <rv s="0">
    <v>15</v>
    <v>5</v>
  </rv>
  <rv s="0">
    <v>16</v>
    <v>5</v>
  </rv>
  <rv s="0">
    <v>17</v>
    <v>5</v>
  </rv>
  <rv s="0">
    <v>18</v>
    <v>5</v>
  </rv>
  <rv s="0">
    <v>19</v>
    <v>5</v>
  </rv>
  <rv s="0">
    <v>20</v>
    <v>5</v>
  </rv>
  <rv s="0">
    <v>21</v>
    <v>5</v>
  </rv>
  <rv s="0">
    <v>22</v>
    <v>5</v>
  </rv>
  <rv s="0">
    <v>23</v>
    <v>5</v>
  </rv>
  <rv s="0">
    <v>24</v>
    <v>5</v>
  </rv>
  <rv s="0">
    <v>25</v>
    <v>5</v>
  </rv>
  <rv s="0">
    <v>26</v>
    <v>5</v>
  </rv>
  <rv s="0">
    <v>27</v>
    <v>5</v>
  </rv>
  <rv s="0">
    <v>28</v>
    <v>5</v>
  </rv>
  <rv s="0">
    <v>29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  <rel r:id="rId3"/>
  <rel r:id="rId4"/>
  <rel r:id="rId5"/>
  <rel r:id="rId6"/>
  <rel r:id="rId7"/>
  <rel r:id="rId8"/>
  <rel r:id="rId9"/>
  <rel r:id="rId10"/>
  <rel r:id="rId11"/>
  <rel r:id="rId12"/>
  <rel r:id="rId13"/>
  <rel r:id="rId14"/>
  <rel r:id="rId15"/>
  <rel r:id="rId16"/>
  <rel r:id="rId17"/>
  <rel r:id="rId18"/>
  <rel r:id="rId19"/>
  <rel r:id="rId20"/>
  <rel r:id="rId21"/>
  <rel r:id="rId22"/>
  <rel r:id="rId23"/>
  <rel r:id="rId24"/>
  <rel r:id="rId25"/>
  <rel r:id="rId26"/>
  <rel r:id="rId27"/>
  <rel r:id="rId28"/>
  <rel r:id="rId29"/>
  <rel r:id="rId30"/>
</richValueRel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D146D9A-C254-4D5A-A7D5-1F7FAF334DDF}" name="Table1" displayName="Table1" ref="A11:Y41" totalsRowShown="0" headerRowDxfId="21">
  <autoFilter ref="A11:Y41" xr:uid="{3D146D9A-C254-4D5A-A7D5-1F7FAF334DDF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xr3:uid="{24C5B4E8-6E34-4E63-B500-87A8DF3CC38A}" name="Block ID" dataDxfId="20"/>
    <tableColumn id="2" xr3:uid="{802CD325-5A5B-4FB6-801D-099389A5F398}" name="Thumbnail" dataDxfId="19"/>
    <tableColumn id="4" xr3:uid="{436C3D55-FE63-4FB3-9A72-0FCDF6FB93CF}" name="First exposure date" dataDxfId="18"/>
    <tableColumn id="41" xr3:uid="{8DE0093E-73CC-4A43-94DA-B39E49E4ECCD}" name="Last exposure date" dataDxfId="17"/>
    <tableColumn id="5" xr3:uid="{A986EE1E-9A15-4701-A537-D9EA3F5483F7}" name="# imges total"/>
    <tableColumn id="16" xr3:uid="{CB9DF5B7-DE0E-4BBB-A45E-E18BEC50E947}" name="# images planned"/>
    <tableColumn id="6" xr3:uid="{C29EF78F-122F-4C84-A74C-E424BBE5C02F}" name="Plane ID"/>
    <tableColumn id="7" xr3:uid="{4D53D45A-D958-477B-BC9B-0C690DA7F74B}" name="Camera ID"/>
    <tableColumn id="8" xr3:uid="{BB3919CC-F1DE-4FA0-96DF-90B0EF02665A}" name="Survey summary delivery date FTP" dataDxfId="16"/>
    <tableColumn id="10" xr3:uid="{3A926045-BBCD-4FE4-9598-04CA73A9A9E5}" name="Survey summary approved" dataDxfId="15"/>
    <tableColumn id="22" xr3:uid="{6CBEA68F-D536-4E14-8A6A-545621766965}" name="Invoice #" dataDxfId="14"/>
    <tableColumn id="24" xr3:uid="{A1648FEB-3900-42CB-88DA-DC230BD90207}" name="km2 in block2" dataDxfId="13"/>
    <tableColumn id="23" xr3:uid="{3023F12E-DF95-46F5-A635-8ECFF01DCF20}" name="% block delivered" dataDxfId="12">
      <calculatedColumnFormula>Table1[[#This Row],['# imges total]]/Table1[[#This Row],['# images planned]]</calculatedColumnFormula>
    </tableColumn>
    <tableColumn id="28" xr3:uid="{E3B521F0-B7BF-4BFC-9E5D-548C5F48C9BD}" name="Block rate ISK" dataDxfId="11"/>
    <tableColumn id="25" xr3:uid="{CA24F6ED-1C41-4A5D-809D-A0B9151E499D}" name="Block price Total" dataDxfId="10">
      <calculatedColumnFormula>Table1[[#This Row],[Block rate ISK]]*#REF!</calculatedColumnFormula>
    </tableColumn>
    <tableColumn id="27" xr3:uid="{9D7A40A2-41C9-41B0-8344-B9CC648FF2D9}" name="# Late penalty days" dataDxfId="9"/>
    <tableColumn id="26" xr3:uid="{B5B73C9A-C6FD-422A-97EB-4695325662EF}" name="Penalty ISK" dataDxfId="8">
      <calculatedColumnFormula>IF(Table1[[#This Row],['# Late penalty days]]*0.002*Table1[[#This Row],[Block price Total]]&lt;0.06*Table1[[#This Row],[Block price Total]],Table1[[#This Row],['# Late penalty days]]*0.002*Table1[[#This Row],[Block price Total]],Table1[[#This Row],[Block price Total]]*0.06)</calculatedColumnFormula>
    </tableColumn>
    <tableColumn id="11" xr3:uid="{C91777CC-5EFA-43F8-A648-04BA4D28E709}" name="To invoice (VAT excl.) - max. 50% block price" dataDxfId="7">
      <calculatedColumnFormula>Table1[[#This Row],[% block delivered]]*Table1[[#This Row],[Block price Total]]*0.5-Table1[[#This Row],[Penalty ISK]]</calculatedColumnFormula>
    </tableColumn>
    <tableColumn id="17" xr3:uid="{65315233-F5A8-45B2-871E-C2E427C04C35}" name="Final orthos/AT delivery date FTP" dataDxfId="6"/>
    <tableColumn id="12" xr3:uid="{83CBBB4F-5EFE-49FF-A16C-13594E019537}" name="Ortho tile/AT delivery approved" dataDxfId="5"/>
    <tableColumn id="35" xr3:uid="{1EA4A5AE-F00D-4488-9D88-B9043B3870BA}" name="# penalty rejected deliveries &gt;2x" dataDxfId="4"/>
    <tableColumn id="34" xr3:uid="{8F548E95-7FA0-4A55-93E0-71A893D5E277}" name="# penalty days" dataDxfId="3"/>
    <tableColumn id="36" xr3:uid="{4971ECB3-34C8-4785-A370-B63CE20C9551}" name="Penalty ISK2" dataDxfId="2">
      <calculatedColumnFormula>IF(Table1[[#This Row],['# penalty days]]*0.002*Table1[[#This Row],[Block price Total]]&lt;Table1[[#This Row],[Block price Total]]*0.06,Table1[[#This Row],['# penalty days]]*0.002*Table1[[#This Row],[Block price Total]],Table1[[#This Row],[Block price Total]]*0.06)+Table1[[#This Row],['# penalty rejected deliveries &gt;2x]]*25000</calculatedColumnFormula>
    </tableColumn>
    <tableColumn id="37" xr3:uid="{85ABFA77-30B6-44B3-9467-7BC47635561A}" name="To Invoice  (excl. VAT) - max. 30% block price" dataDxfId="1">
      <calculatedColumnFormula>Table1[[#This Row],[% block delivered]]*Table1[[#This Row],[Block price Total]]*0.3-Table1[[#This Row],[Penalty ISK2]]</calculatedColumnFormula>
    </tableColumn>
    <tableColumn id="30" xr3:uid="{22A53746-0A36-4137-826E-D19D4E35D1D8}" name="Invoice Numb." dataDxfId="0"/>
  </tableColumns>
  <tableStyleInfo name="TableStyleLight15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641A1D-046F-488D-AA86-1C8C8F7C02B5}">
  <dimension ref="A1:AA50"/>
  <sheetViews>
    <sheetView tabSelected="1" zoomScale="70" zoomScaleNormal="70" workbookViewId="0">
      <pane xSplit="1" topLeftCell="B1" activePane="topRight" state="frozen"/>
      <selection pane="topRight" activeCell="B4" sqref="B4"/>
    </sheetView>
  </sheetViews>
  <sheetFormatPr defaultRowHeight="14.6" x14ac:dyDescent="0.4"/>
  <cols>
    <col min="1" max="1" width="30.69140625" bestFit="1" customWidth="1"/>
    <col min="2" max="2" width="34.69140625" customWidth="1"/>
    <col min="3" max="4" width="12" customWidth="1"/>
    <col min="5" max="5" width="13.15234375" customWidth="1"/>
    <col min="6" max="6" width="8.23046875" customWidth="1"/>
    <col min="7" max="7" width="7.69140625" customWidth="1"/>
    <col min="8" max="8" width="9" customWidth="1"/>
    <col min="9" max="9" width="11" customWidth="1"/>
    <col min="10" max="10" width="13.84375" bestFit="1" customWidth="1"/>
    <col min="11" max="11" width="7.84375" bestFit="1" customWidth="1"/>
    <col min="12" max="12" width="8.69140625" customWidth="1"/>
    <col min="13" max="13" width="9" bestFit="1" customWidth="1"/>
    <col min="14" max="14" width="8.23046875" customWidth="1"/>
    <col min="15" max="15" width="15" customWidth="1"/>
    <col min="16" max="16" width="8.23046875" customWidth="1"/>
    <col min="17" max="17" width="8.69140625" customWidth="1"/>
    <col min="18" max="18" width="14.3828125" customWidth="1"/>
    <col min="19" max="19" width="9.15234375" style="2" customWidth="1"/>
    <col min="20" max="20" width="14.23046875" style="2" bestFit="1" customWidth="1"/>
    <col min="21" max="21" width="14.23046875" style="2" customWidth="1"/>
    <col min="22" max="23" width="10.3828125" style="2" customWidth="1"/>
    <col min="24" max="24" width="12.61328125" style="2" customWidth="1"/>
    <col min="25" max="25" width="8.3828125" style="2" customWidth="1"/>
  </cols>
  <sheetData>
    <row r="1" spans="1:27" ht="33" customHeight="1" x14ac:dyDescent="0.9">
      <c r="A1" s="5" t="s">
        <v>0</v>
      </c>
      <c r="B1" s="50" t="s">
        <v>1</v>
      </c>
      <c r="C1" s="50"/>
      <c r="D1" s="50"/>
      <c r="E1" s="50"/>
      <c r="F1" s="50"/>
      <c r="G1" s="50"/>
      <c r="H1" s="50"/>
      <c r="AA1" s="9" t="s">
        <v>2</v>
      </c>
    </row>
    <row r="2" spans="1:27" ht="26.15" x14ac:dyDescent="0.7">
      <c r="A2" s="19" t="s">
        <v>3</v>
      </c>
      <c r="B2" s="20">
        <v>22122</v>
      </c>
      <c r="AA2" s="9" t="s">
        <v>4</v>
      </c>
    </row>
    <row r="3" spans="1:27" ht="26.15" x14ac:dyDescent="0.7">
      <c r="A3" s="19" t="s">
        <v>5</v>
      </c>
      <c r="B3" s="20">
        <v>2026</v>
      </c>
      <c r="AA3" s="9" t="s">
        <v>6</v>
      </c>
    </row>
    <row r="4" spans="1:27" ht="26.15" x14ac:dyDescent="0.7">
      <c r="A4" s="19" t="s">
        <v>7</v>
      </c>
      <c r="B4" s="20">
        <v>2</v>
      </c>
    </row>
    <row r="5" spans="1:27" ht="26.15" x14ac:dyDescent="0.7">
      <c r="A5" s="19" t="s">
        <v>8</v>
      </c>
      <c r="B5" s="20" t="s">
        <v>9</v>
      </c>
    </row>
    <row r="6" spans="1:27" ht="26.15" x14ac:dyDescent="0.7">
      <c r="A6" s="19" t="s">
        <v>10</v>
      </c>
      <c r="B6" s="22">
        <v>133063150</v>
      </c>
      <c r="C6" t="s">
        <v>11</v>
      </c>
      <c r="E6">
        <f>B6/B7</f>
        <v>2364.0121164744969</v>
      </c>
    </row>
    <row r="7" spans="1:27" ht="26.15" x14ac:dyDescent="0.7">
      <c r="A7" s="19" t="s">
        <v>12</v>
      </c>
      <c r="B7" s="21">
        <v>56287</v>
      </c>
      <c r="C7" t="s">
        <v>13</v>
      </c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8"/>
      <c r="T7" s="8"/>
      <c r="U7" s="8"/>
      <c r="V7" s="8"/>
      <c r="W7" s="8"/>
      <c r="X7" s="8"/>
      <c r="Y7" s="8"/>
    </row>
    <row r="8" spans="1:27" ht="26.15" x14ac:dyDescent="0.7">
      <c r="A8" s="6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8"/>
      <c r="T8" s="8"/>
      <c r="U8" s="8"/>
      <c r="V8" s="8"/>
      <c r="W8" s="8"/>
      <c r="X8" s="8"/>
      <c r="Y8" s="8"/>
    </row>
    <row r="9" spans="1:27" ht="26.15" x14ac:dyDescent="0.7">
      <c r="A9" s="6"/>
      <c r="C9" s="46" t="s">
        <v>14</v>
      </c>
      <c r="D9" s="47"/>
      <c r="E9" s="47"/>
      <c r="F9" s="47"/>
      <c r="G9" s="47"/>
      <c r="H9" s="47"/>
      <c r="I9" s="47"/>
      <c r="J9" s="47"/>
      <c r="K9" s="47"/>
      <c r="L9" s="47"/>
      <c r="M9" s="47"/>
      <c r="N9" s="47"/>
      <c r="O9" s="47"/>
      <c r="P9" s="47"/>
      <c r="Q9" s="47"/>
      <c r="R9" s="48"/>
      <c r="S9" s="43" t="s">
        <v>15</v>
      </c>
      <c r="T9" s="44"/>
      <c r="U9" s="44"/>
      <c r="V9" s="44"/>
      <c r="W9" s="44"/>
      <c r="X9" s="44"/>
      <c r="Y9" s="45"/>
    </row>
    <row r="10" spans="1:27" s="32" customFormat="1" ht="49.95" customHeight="1" x14ac:dyDescent="0.4">
      <c r="A10" s="39" t="s">
        <v>16</v>
      </c>
      <c r="B10" s="40" t="s">
        <v>17</v>
      </c>
      <c r="C10" s="33">
        <v>45488</v>
      </c>
      <c r="D10" s="33">
        <v>45489</v>
      </c>
      <c r="E10" s="34">
        <v>900</v>
      </c>
      <c r="F10" s="34">
        <v>900</v>
      </c>
      <c r="G10" s="34" t="s">
        <v>18</v>
      </c>
      <c r="H10" s="34" t="s">
        <v>19</v>
      </c>
      <c r="I10" s="33">
        <v>45502</v>
      </c>
      <c r="J10" s="34" t="s">
        <v>2</v>
      </c>
      <c r="K10" s="34" t="s">
        <v>20</v>
      </c>
      <c r="L10" s="35">
        <v>1500</v>
      </c>
      <c r="M10" s="34">
        <f>E10/F10</f>
        <v>1</v>
      </c>
      <c r="N10" s="36">
        <v>2350</v>
      </c>
      <c r="O10" s="36">
        <f>L10*N10</f>
        <v>3525000</v>
      </c>
      <c r="P10" s="34">
        <v>0</v>
      </c>
      <c r="Q10" s="36">
        <v>0</v>
      </c>
      <c r="R10" s="36">
        <f>M10*O10*0.5-Q10</f>
        <v>1762500</v>
      </c>
      <c r="S10" s="34"/>
      <c r="T10" s="34"/>
      <c r="U10" s="37"/>
      <c r="V10" s="37"/>
      <c r="W10" s="37" t="e">
        <f>IF(Table1[[#This Row],['# penalty days]]*0.002*Table1[[#This Row],[Block price Total]]&lt;Table1[[#This Row],[Block price Total]]*0.06,Table1[[#This Row],['# penalty days]]*0.002*Table1[[#This Row],[Block price Total]],Table1[[#This Row],[Block price Total]]*0.06)+Table1[[#This Row],['# penalty rejected deliveries &gt;2x]]*25000</f>
        <v>#VALUE!</v>
      </c>
      <c r="X10" s="37" t="e">
        <f>Table1[[#This Row],[% block delivered]]*Table1[[#This Row],[Block price Total]]*0.3-Table1[[#This Row],[Penalty ISK2]]</f>
        <v>#VALUE!</v>
      </c>
      <c r="Y10" s="37"/>
    </row>
    <row r="11" spans="1:27" ht="59.6" x14ac:dyDescent="0.55000000000000004">
      <c r="A11" s="30" t="s">
        <v>21</v>
      </c>
      <c r="B11" s="1" t="s">
        <v>22</v>
      </c>
      <c r="C11" s="1" t="s">
        <v>23</v>
      </c>
      <c r="D11" s="1" t="s">
        <v>24</v>
      </c>
      <c r="E11" s="1" t="s">
        <v>25</v>
      </c>
      <c r="F11" s="1" t="s">
        <v>26</v>
      </c>
      <c r="G11" s="1" t="s">
        <v>27</v>
      </c>
      <c r="H11" s="1" t="s">
        <v>28</v>
      </c>
      <c r="I11" s="1" t="s">
        <v>29</v>
      </c>
      <c r="J11" s="1" t="s">
        <v>30</v>
      </c>
      <c r="K11" s="1" t="s">
        <v>31</v>
      </c>
      <c r="L11" s="1" t="s">
        <v>32</v>
      </c>
      <c r="M11" s="1" t="s">
        <v>33</v>
      </c>
      <c r="N11" s="1" t="s">
        <v>34</v>
      </c>
      <c r="O11" s="38" t="s">
        <v>35</v>
      </c>
      <c r="P11" s="1" t="s">
        <v>36</v>
      </c>
      <c r="Q11" s="1" t="s">
        <v>37</v>
      </c>
      <c r="R11" s="1" t="s">
        <v>38</v>
      </c>
      <c r="S11" s="18" t="s">
        <v>39</v>
      </c>
      <c r="T11" s="18" t="s">
        <v>40</v>
      </c>
      <c r="U11" s="18" t="s">
        <v>41</v>
      </c>
      <c r="V11" s="18" t="s">
        <v>42</v>
      </c>
      <c r="W11" s="18" t="s">
        <v>43</v>
      </c>
      <c r="X11" s="18" t="s">
        <v>44</v>
      </c>
      <c r="Y11" s="18" t="s">
        <v>45</v>
      </c>
    </row>
    <row r="12" spans="1:27" ht="72" customHeight="1" x14ac:dyDescent="0.4">
      <c r="A12" s="26" t="s">
        <v>46</v>
      </c>
      <c r="B12" s="3" t="e" vm="1">
        <v>#VALUE!</v>
      </c>
      <c r="C12" s="31"/>
      <c r="D12" s="31"/>
      <c r="I12" s="31"/>
      <c r="L12" s="23">
        <v>477.977565900375</v>
      </c>
      <c r="M12" t="e">
        <f>Table1[[#This Row],['# imges total]]/Table1[[#This Row],['# images planned]]</f>
        <v>#DIV/0!</v>
      </c>
      <c r="N12" s="24">
        <v>4000</v>
      </c>
      <c r="O12" s="24">
        <f>Table1[[#This Row],[Block rate ISK]]*Table1[[#This Row],[km2 in block2]]</f>
        <v>1911910.2636015001</v>
      </c>
      <c r="Q12" s="24">
        <f>IF(Table1[[#This Row],['# Late penalty days]]*0.002*Table1[[#This Row],[Block price Total]]&lt;0.06*Table1[[#This Row],[Block price Total]],Table1[[#This Row],['# Late penalty days]]*0.002*Table1[[#This Row],[Block price Total]],Table1[[#This Row],[Block price Total]]*0.06)</f>
        <v>0</v>
      </c>
      <c r="R12" s="25" t="e">
        <f>Table1[[#This Row],[% block delivered]]*Table1[[#This Row],[Block price Total]]*0.5-Table1[[#This Row],[Penalty ISK]]</f>
        <v>#DIV/0!</v>
      </c>
      <c r="W12" s="2">
        <f>IF(Table1[[#This Row],['# penalty days]]*0.002*Table1[[#This Row],[Block price Total]]&lt;Table1[[#This Row],[Block price Total]]*0.06,Table1[[#This Row],['# penalty days]]*0.002*Table1[[#This Row],[Block price Total]],Table1[[#This Row],[Block price Total]]*0.06)+Table1[[#This Row],['# penalty rejected deliveries &gt;2x]]*25000</f>
        <v>0</v>
      </c>
      <c r="X12" s="2" t="e">
        <f>Table1[[#This Row],[% block delivered]]*Table1[[#This Row],[Block price Total]]*0.3-Table1[[#This Row],[Penalty ISK2]]</f>
        <v>#DIV/0!</v>
      </c>
    </row>
    <row r="13" spans="1:27" ht="72" customHeight="1" x14ac:dyDescent="0.4">
      <c r="A13" s="26" t="s">
        <v>47</v>
      </c>
      <c r="B13" s="3" t="e" vm="2">
        <v>#VALUE!</v>
      </c>
      <c r="C13" s="31"/>
      <c r="D13" s="31"/>
      <c r="I13" s="31"/>
      <c r="L13" s="23">
        <v>1512.2492271327701</v>
      </c>
      <c r="M13" t="e">
        <f>Table1[[#This Row],['# imges total]]/Table1[[#This Row],['# images planned]]</f>
        <v>#DIV/0!</v>
      </c>
      <c r="N13" s="24">
        <v>2350</v>
      </c>
      <c r="O13" s="24">
        <f>Table1[[#This Row],[Block rate ISK]]*Table1[[#This Row],[km2 in block2]]</f>
        <v>3553785.6837620097</v>
      </c>
      <c r="Q13" s="24">
        <f>IF(Table1[[#This Row],['# Late penalty days]]*0.002*Table1[[#This Row],[Block price Total]]&lt;0.06*Table1[[#This Row],[Block price Total]],Table1[[#This Row],['# Late penalty days]]*0.002*Table1[[#This Row],[Block price Total]],Table1[[#This Row],[Block price Total]]*0.06)</f>
        <v>0</v>
      </c>
      <c r="R13" s="25" t="e">
        <f>Table1[[#This Row],[% block delivered]]*Table1[[#This Row],[Block price Total]]*0.5-Table1[[#This Row],[Penalty ISK]]</f>
        <v>#DIV/0!</v>
      </c>
      <c r="W13" s="2">
        <f>IF(Table1[[#This Row],['# penalty days]]*0.002*Table1[[#This Row],[Block price Total]]&lt;Table1[[#This Row],[Block price Total]]*0.06,Table1[[#This Row],['# penalty days]]*0.002*Table1[[#This Row],[Block price Total]],Table1[[#This Row],[Block price Total]]*0.06)+Table1[[#This Row],['# penalty rejected deliveries &gt;2x]]*25000</f>
        <v>0</v>
      </c>
      <c r="X13" s="2" t="e">
        <f>Table1[[#This Row],[% block delivered]]*Table1[[#This Row],[Block price Total]]*0.3-Table1[[#This Row],[Penalty ISK2]]</f>
        <v>#DIV/0!</v>
      </c>
    </row>
    <row r="14" spans="1:27" ht="72" customHeight="1" x14ac:dyDescent="0.4">
      <c r="A14" s="26" t="s">
        <v>48</v>
      </c>
      <c r="B14" s="3" t="e" vm="3">
        <v>#VALUE!</v>
      </c>
      <c r="C14" s="31"/>
      <c r="D14" s="31"/>
      <c r="I14" s="31"/>
      <c r="L14" s="23">
        <v>1903.2640600961099</v>
      </c>
      <c r="M14" t="e">
        <f>Table1[[#This Row],['# imges total]]/Table1[[#This Row],['# images planned]]</f>
        <v>#DIV/0!</v>
      </c>
      <c r="N14" s="24">
        <v>2350</v>
      </c>
      <c r="O14" s="24">
        <f>Table1[[#This Row],[Block rate ISK]]*Table1[[#This Row],[km2 in block2]]</f>
        <v>4472670.541225858</v>
      </c>
      <c r="Q14" s="24">
        <f>IF(Table1[[#This Row],['# Late penalty days]]*0.002*Table1[[#This Row],[Block price Total]]&lt;0.06*Table1[[#This Row],[Block price Total]],Table1[[#This Row],['# Late penalty days]]*0.002*Table1[[#This Row],[Block price Total]],Table1[[#This Row],[Block price Total]]*0.06)</f>
        <v>0</v>
      </c>
      <c r="R14" s="25" t="e">
        <f>Table1[[#This Row],[% block delivered]]*Table1[[#This Row],[Block price Total]]*0.5-Table1[[#This Row],[Penalty ISK]]</f>
        <v>#DIV/0!</v>
      </c>
      <c r="W14" s="2">
        <f>IF(Table1[[#This Row],['# penalty days]]*0.002*Table1[[#This Row],[Block price Total]]&lt;Table1[[#This Row],[Block price Total]]*0.06,Table1[[#This Row],['# penalty days]]*0.002*Table1[[#This Row],[Block price Total]],Table1[[#This Row],[Block price Total]]*0.06)+Table1[[#This Row],['# penalty rejected deliveries &gt;2x]]*25000</f>
        <v>0</v>
      </c>
      <c r="X14" s="2" t="e">
        <f>Table1[[#This Row],[% block delivered]]*Table1[[#This Row],[Block price Total]]*0.3-Table1[[#This Row],[Penalty ISK2]]</f>
        <v>#DIV/0!</v>
      </c>
    </row>
    <row r="15" spans="1:27" ht="72" customHeight="1" x14ac:dyDescent="0.4">
      <c r="A15" s="26" t="s">
        <v>49</v>
      </c>
      <c r="B15" s="3" t="e" vm="4">
        <v>#VALUE!</v>
      </c>
      <c r="C15" s="31"/>
      <c r="D15" s="31"/>
      <c r="I15" s="31"/>
      <c r="L15" s="23">
        <v>2392.4062442416298</v>
      </c>
      <c r="M15" t="e">
        <f>Table1[[#This Row],['# imges total]]/Table1[[#This Row],['# images planned]]</f>
        <v>#DIV/0!</v>
      </c>
      <c r="N15" s="24">
        <v>2350</v>
      </c>
      <c r="O15" s="24">
        <f>Table1[[#This Row],[Block rate ISK]]*Table1[[#This Row],[km2 in block2]]</f>
        <v>5622154.6739678299</v>
      </c>
      <c r="Q15" s="24">
        <f>IF(Table1[[#This Row],['# Late penalty days]]*0.002*Table1[[#This Row],[Block price Total]]&lt;0.06*Table1[[#This Row],[Block price Total]],Table1[[#This Row],['# Late penalty days]]*0.002*Table1[[#This Row],[Block price Total]],Table1[[#This Row],[Block price Total]]*0.06)</f>
        <v>0</v>
      </c>
      <c r="R15" s="25" t="e">
        <f>Table1[[#This Row],[% block delivered]]*Table1[[#This Row],[Block price Total]]*0.5-Table1[[#This Row],[Penalty ISK]]</f>
        <v>#DIV/0!</v>
      </c>
      <c r="W15" s="2">
        <f>IF(Table1[[#This Row],['# penalty days]]*0.002*Table1[[#This Row],[Block price Total]]&lt;Table1[[#This Row],[Block price Total]]*0.06,Table1[[#This Row],['# penalty days]]*0.002*Table1[[#This Row],[Block price Total]],Table1[[#This Row],[Block price Total]]*0.06)+Table1[[#This Row],['# penalty rejected deliveries &gt;2x]]*25000</f>
        <v>0</v>
      </c>
      <c r="X15" s="2" t="e">
        <f>Table1[[#This Row],[% block delivered]]*Table1[[#This Row],[Block price Total]]*0.3-Table1[[#This Row],[Penalty ISK2]]</f>
        <v>#DIV/0!</v>
      </c>
    </row>
    <row r="16" spans="1:27" ht="72" customHeight="1" x14ac:dyDescent="0.4">
      <c r="A16" s="26" t="s">
        <v>50</v>
      </c>
      <c r="B16" s="3" t="e" vm="5">
        <v>#VALUE!</v>
      </c>
      <c r="C16" s="31"/>
      <c r="D16" s="31"/>
      <c r="I16" s="31"/>
      <c r="L16" s="23">
        <v>1807.2031353006901</v>
      </c>
      <c r="M16" t="e">
        <f>Table1[[#This Row],['# imges total]]/Table1[[#This Row],['# images planned]]</f>
        <v>#DIV/0!</v>
      </c>
      <c r="N16" s="24">
        <v>2350</v>
      </c>
      <c r="O16" s="24">
        <f>Table1[[#This Row],[Block rate ISK]]*Table1[[#This Row],[km2 in block2]]</f>
        <v>4246927.3679566216</v>
      </c>
      <c r="Q16" s="24">
        <f>IF(Table1[[#This Row],['# Late penalty days]]*0.002*Table1[[#This Row],[Block price Total]]&lt;0.06*Table1[[#This Row],[Block price Total]],Table1[[#This Row],['# Late penalty days]]*0.002*Table1[[#This Row],[Block price Total]],Table1[[#This Row],[Block price Total]]*0.06)</f>
        <v>0</v>
      </c>
      <c r="R16" s="25" t="e">
        <f>Table1[[#This Row],[% block delivered]]*Table1[[#This Row],[Block price Total]]*0.5-Table1[[#This Row],[Penalty ISK]]</f>
        <v>#DIV/0!</v>
      </c>
      <c r="W16" s="2">
        <f>IF(Table1[[#This Row],['# penalty days]]*0.002*Table1[[#This Row],[Block price Total]]&lt;Table1[[#This Row],[Block price Total]]*0.06,Table1[[#This Row],['# penalty days]]*0.002*Table1[[#This Row],[Block price Total]],Table1[[#This Row],[Block price Total]]*0.06)+Table1[[#This Row],['# penalty rejected deliveries &gt;2x]]*25000</f>
        <v>0</v>
      </c>
      <c r="X16" s="2" t="e">
        <f>Table1[[#This Row],[% block delivered]]*Table1[[#This Row],[Block price Total]]*0.3-Table1[[#This Row],[Penalty ISK2]]</f>
        <v>#DIV/0!</v>
      </c>
    </row>
    <row r="17" spans="1:24" ht="72" customHeight="1" x14ac:dyDescent="0.4">
      <c r="A17" s="26" t="s">
        <v>51</v>
      </c>
      <c r="B17" s="3" t="e" vm="6">
        <v>#VALUE!</v>
      </c>
      <c r="C17" s="31"/>
      <c r="D17" s="31"/>
      <c r="I17" s="31"/>
      <c r="L17" s="23">
        <v>2174.60918889816</v>
      </c>
      <c r="M17" t="e">
        <f>Table1[[#This Row],['# imges total]]/Table1[[#This Row],['# images planned]]</f>
        <v>#DIV/0!</v>
      </c>
      <c r="N17" s="24">
        <v>2350</v>
      </c>
      <c r="O17" s="24">
        <f>Table1[[#This Row],[Block rate ISK]]*Table1[[#This Row],[km2 in block2]]</f>
        <v>5110331.5939106764</v>
      </c>
      <c r="Q17" s="24">
        <f>IF(Table1[[#This Row],['# Late penalty days]]*0.002*Table1[[#This Row],[Block price Total]]&lt;0.06*Table1[[#This Row],[Block price Total]],Table1[[#This Row],['# Late penalty days]]*0.002*Table1[[#This Row],[Block price Total]],Table1[[#This Row],[Block price Total]]*0.06)</f>
        <v>0</v>
      </c>
      <c r="R17" s="25" t="e">
        <f>Table1[[#This Row],[% block delivered]]*Table1[[#This Row],[Block price Total]]*0.5-Table1[[#This Row],[Penalty ISK]]</f>
        <v>#DIV/0!</v>
      </c>
      <c r="W17" s="2">
        <f>IF(Table1[[#This Row],['# penalty days]]*0.002*Table1[[#This Row],[Block price Total]]&lt;Table1[[#This Row],[Block price Total]]*0.06,Table1[[#This Row],['# penalty days]]*0.002*Table1[[#This Row],[Block price Total]],Table1[[#This Row],[Block price Total]]*0.06)+Table1[[#This Row],['# penalty rejected deliveries &gt;2x]]*25000</f>
        <v>0</v>
      </c>
      <c r="X17" s="2" t="e">
        <f>Table1[[#This Row],[% block delivered]]*Table1[[#This Row],[Block price Total]]*0.3-Table1[[#This Row],[Penalty ISK2]]</f>
        <v>#DIV/0!</v>
      </c>
    </row>
    <row r="18" spans="1:24" ht="72" customHeight="1" x14ac:dyDescent="0.4">
      <c r="A18" s="26" t="s">
        <v>52</v>
      </c>
      <c r="B18" s="3" t="e" vm="7">
        <v>#VALUE!</v>
      </c>
      <c r="C18" s="31"/>
      <c r="D18" s="31"/>
      <c r="I18" s="31"/>
      <c r="L18" s="23">
        <v>1768.63334110709</v>
      </c>
      <c r="M18" t="e">
        <f>Table1[[#This Row],['# imges total]]/Table1[[#This Row],['# images planned]]</f>
        <v>#DIV/0!</v>
      </c>
      <c r="N18" s="24">
        <v>2350</v>
      </c>
      <c r="O18" s="24">
        <f>Table1[[#This Row],[Block rate ISK]]*Table1[[#This Row],[km2 in block2]]</f>
        <v>4156288.3516016616</v>
      </c>
      <c r="Q18" s="24">
        <f>IF(Table1[[#This Row],['# Late penalty days]]*0.002*Table1[[#This Row],[Block price Total]]&lt;0.06*Table1[[#This Row],[Block price Total]],Table1[[#This Row],['# Late penalty days]]*0.002*Table1[[#This Row],[Block price Total]],Table1[[#This Row],[Block price Total]]*0.06)</f>
        <v>0</v>
      </c>
      <c r="R18" s="25" t="e">
        <f>Table1[[#This Row],[% block delivered]]*Table1[[#This Row],[Block price Total]]*0.5-Table1[[#This Row],[Penalty ISK]]</f>
        <v>#DIV/0!</v>
      </c>
      <c r="W18" s="2">
        <f>IF(Table1[[#This Row],['# penalty days]]*0.002*Table1[[#This Row],[Block price Total]]&lt;Table1[[#This Row],[Block price Total]]*0.06,Table1[[#This Row],['# penalty days]]*0.002*Table1[[#This Row],[Block price Total]],Table1[[#This Row],[Block price Total]]*0.06)+Table1[[#This Row],['# penalty rejected deliveries &gt;2x]]*25000</f>
        <v>0</v>
      </c>
      <c r="X18" s="2" t="e">
        <f>Table1[[#This Row],[% block delivered]]*Table1[[#This Row],[Block price Total]]*0.3-Table1[[#This Row],[Penalty ISK2]]</f>
        <v>#DIV/0!</v>
      </c>
    </row>
    <row r="19" spans="1:24" ht="72" customHeight="1" x14ac:dyDescent="0.4">
      <c r="A19" s="26" t="s">
        <v>53</v>
      </c>
      <c r="B19" s="3" t="e" vm="8">
        <v>#VALUE!</v>
      </c>
      <c r="C19" s="31"/>
      <c r="D19" s="31"/>
      <c r="I19" s="31"/>
      <c r="L19" s="23">
        <v>2223.00493746643</v>
      </c>
      <c r="M19" t="e">
        <f>Table1[[#This Row],['# imges total]]/Table1[[#This Row],['# images planned]]</f>
        <v>#DIV/0!</v>
      </c>
      <c r="N19" s="24">
        <v>2350</v>
      </c>
      <c r="O19" s="24">
        <f>Table1[[#This Row],[Block rate ISK]]*Table1[[#This Row],[km2 in block2]]</f>
        <v>5224061.6030461108</v>
      </c>
      <c r="Q19" s="24">
        <f>IF(Table1[[#This Row],['# Late penalty days]]*0.002*Table1[[#This Row],[Block price Total]]&lt;0.06*Table1[[#This Row],[Block price Total]],Table1[[#This Row],['# Late penalty days]]*0.002*Table1[[#This Row],[Block price Total]],Table1[[#This Row],[Block price Total]]*0.06)</f>
        <v>0</v>
      </c>
      <c r="R19" s="25" t="e">
        <f>Table1[[#This Row],[% block delivered]]*Table1[[#This Row],[Block price Total]]*0.5-Table1[[#This Row],[Penalty ISK]]</f>
        <v>#DIV/0!</v>
      </c>
      <c r="W19" s="2">
        <f>IF(Table1[[#This Row],['# penalty days]]*0.002*Table1[[#This Row],[Block price Total]]&lt;Table1[[#This Row],[Block price Total]]*0.06,Table1[[#This Row],['# penalty days]]*0.002*Table1[[#This Row],[Block price Total]],Table1[[#This Row],[Block price Total]]*0.06)+Table1[[#This Row],['# penalty rejected deliveries &gt;2x]]*25000</f>
        <v>0</v>
      </c>
      <c r="X19" s="2" t="e">
        <f>Table1[[#This Row],[% block delivered]]*Table1[[#This Row],[Block price Total]]*0.3-Table1[[#This Row],[Penalty ISK2]]</f>
        <v>#DIV/0!</v>
      </c>
    </row>
    <row r="20" spans="1:24" ht="72" customHeight="1" x14ac:dyDescent="0.4">
      <c r="A20" s="26" t="s">
        <v>54</v>
      </c>
      <c r="B20" s="3" t="e" vm="9">
        <v>#VALUE!</v>
      </c>
      <c r="C20" s="31"/>
      <c r="D20" s="31"/>
      <c r="I20" s="31"/>
      <c r="L20" s="23">
        <v>2199.5682938595601</v>
      </c>
      <c r="M20" t="e">
        <f>Table1[[#This Row],['# imges total]]/Table1[[#This Row],['# images planned]]</f>
        <v>#DIV/0!</v>
      </c>
      <c r="N20" s="24">
        <v>2350</v>
      </c>
      <c r="O20" s="24">
        <f>Table1[[#This Row],[Block rate ISK]]*Table1[[#This Row],[km2 in block2]]</f>
        <v>5168985.4905699659</v>
      </c>
      <c r="Q20" s="24">
        <f>IF(Table1[[#This Row],['# Late penalty days]]*0.002*Table1[[#This Row],[Block price Total]]&lt;0.06*Table1[[#This Row],[Block price Total]],Table1[[#This Row],['# Late penalty days]]*0.002*Table1[[#This Row],[Block price Total]],Table1[[#This Row],[Block price Total]]*0.06)</f>
        <v>0</v>
      </c>
      <c r="R20" s="25" t="e">
        <f>Table1[[#This Row],[% block delivered]]*Table1[[#This Row],[Block price Total]]*0.5-Table1[[#This Row],[Penalty ISK]]</f>
        <v>#DIV/0!</v>
      </c>
      <c r="W20" s="2">
        <f>IF(Table1[[#This Row],['# penalty days]]*0.002*Table1[[#This Row],[Block price Total]]&lt;Table1[[#This Row],[Block price Total]]*0.06,Table1[[#This Row],['# penalty days]]*0.002*Table1[[#This Row],[Block price Total]],Table1[[#This Row],[Block price Total]]*0.06)+Table1[[#This Row],['# penalty rejected deliveries &gt;2x]]*25000</f>
        <v>0</v>
      </c>
      <c r="X20" s="2" t="e">
        <f>Table1[[#This Row],[% block delivered]]*Table1[[#This Row],[Block price Total]]*0.3-Table1[[#This Row],[Penalty ISK2]]</f>
        <v>#DIV/0!</v>
      </c>
    </row>
    <row r="21" spans="1:24" ht="72" customHeight="1" x14ac:dyDescent="0.4">
      <c r="A21" s="26" t="s">
        <v>55</v>
      </c>
      <c r="B21" s="3" t="e" vm="10">
        <v>#VALUE!</v>
      </c>
      <c r="C21" s="31"/>
      <c r="D21" s="31"/>
      <c r="I21" s="31"/>
      <c r="L21" s="23">
        <v>1772.8974398374601</v>
      </c>
      <c r="M21" t="e">
        <f>Table1[[#This Row],['# imges total]]/Table1[[#This Row],['# images planned]]</f>
        <v>#DIV/0!</v>
      </c>
      <c r="N21" s="24">
        <v>2350</v>
      </c>
      <c r="O21" s="24">
        <f>Table1[[#This Row],[Block rate ISK]]*Table1[[#This Row],[km2 in block2]]</f>
        <v>4166308.9836180313</v>
      </c>
      <c r="Q21" s="24">
        <f>IF(Table1[[#This Row],['# Late penalty days]]*0.002*Table1[[#This Row],[Block price Total]]&lt;0.06*Table1[[#This Row],[Block price Total]],Table1[[#This Row],['# Late penalty days]]*0.002*Table1[[#This Row],[Block price Total]],Table1[[#This Row],[Block price Total]]*0.06)</f>
        <v>0</v>
      </c>
      <c r="R21" s="25" t="e">
        <f>Table1[[#This Row],[% block delivered]]*Table1[[#This Row],[Block price Total]]*0.5-Table1[[#This Row],[Penalty ISK]]</f>
        <v>#DIV/0!</v>
      </c>
      <c r="W21" s="2">
        <f>IF(Table1[[#This Row],['# penalty days]]*0.002*Table1[[#This Row],[Block price Total]]&lt;Table1[[#This Row],[Block price Total]]*0.06,Table1[[#This Row],['# penalty days]]*0.002*Table1[[#This Row],[Block price Total]],Table1[[#This Row],[Block price Total]]*0.06)+Table1[[#This Row],['# penalty rejected deliveries &gt;2x]]*25000</f>
        <v>0</v>
      </c>
      <c r="X21" s="2" t="e">
        <f>Table1[[#This Row],[% block delivered]]*Table1[[#This Row],[Block price Total]]*0.3-Table1[[#This Row],[Penalty ISK2]]</f>
        <v>#DIV/0!</v>
      </c>
    </row>
    <row r="22" spans="1:24" ht="72" customHeight="1" x14ac:dyDescent="0.4">
      <c r="A22" s="26" t="s">
        <v>56</v>
      </c>
      <c r="B22" s="3" t="e" vm="11">
        <v>#VALUE!</v>
      </c>
      <c r="C22" s="31"/>
      <c r="D22" s="31"/>
      <c r="I22" s="31"/>
      <c r="L22" s="23">
        <v>2320.4043888861202</v>
      </c>
      <c r="M22" t="e">
        <f>Table1[[#This Row],['# imges total]]/Table1[[#This Row],['# images planned]]</f>
        <v>#DIV/0!</v>
      </c>
      <c r="N22" s="24">
        <v>2350</v>
      </c>
      <c r="O22" s="24">
        <f>Table1[[#This Row],[Block rate ISK]]*Table1[[#This Row],[km2 in block2]]</f>
        <v>5452950.3138823826</v>
      </c>
      <c r="Q22" s="24">
        <f>IF(Table1[[#This Row],['# Late penalty days]]*0.002*Table1[[#This Row],[Block price Total]]&lt;0.06*Table1[[#This Row],[Block price Total]],Table1[[#This Row],['# Late penalty days]]*0.002*Table1[[#This Row],[Block price Total]],Table1[[#This Row],[Block price Total]]*0.06)</f>
        <v>0</v>
      </c>
      <c r="R22" s="25" t="e">
        <f>Table1[[#This Row],[% block delivered]]*Table1[[#This Row],[Block price Total]]*0.5-Table1[[#This Row],[Penalty ISK]]</f>
        <v>#DIV/0!</v>
      </c>
      <c r="W22" s="2">
        <f>IF(Table1[[#This Row],['# penalty days]]*0.002*Table1[[#This Row],[Block price Total]]&lt;Table1[[#This Row],[Block price Total]]*0.06,Table1[[#This Row],['# penalty days]]*0.002*Table1[[#This Row],[Block price Total]],Table1[[#This Row],[Block price Total]]*0.06)+Table1[[#This Row],['# penalty rejected deliveries &gt;2x]]*25000</f>
        <v>0</v>
      </c>
      <c r="X22" s="2" t="e">
        <f>Table1[[#This Row],[% block delivered]]*Table1[[#This Row],[Block price Total]]*0.3-Table1[[#This Row],[Penalty ISK2]]</f>
        <v>#DIV/0!</v>
      </c>
    </row>
    <row r="23" spans="1:24" ht="72" customHeight="1" x14ac:dyDescent="0.4">
      <c r="A23" s="26" t="s">
        <v>57</v>
      </c>
      <c r="B23" s="3" t="e" vm="12">
        <v>#VALUE!</v>
      </c>
      <c r="C23" s="31"/>
      <c r="D23" s="31"/>
      <c r="I23" s="31"/>
      <c r="L23" s="23">
        <v>2400.3056988926101</v>
      </c>
      <c r="M23" t="e">
        <f>Table1[[#This Row],['# imges total]]/Table1[[#This Row],['# images planned]]</f>
        <v>#DIV/0!</v>
      </c>
      <c r="N23" s="24">
        <v>2350</v>
      </c>
      <c r="O23" s="24">
        <f>Table1[[#This Row],[Block rate ISK]]*Table1[[#This Row],[km2 in block2]]</f>
        <v>5640718.3923976338</v>
      </c>
      <c r="Q23" s="24">
        <f>IF(Table1[[#This Row],['# Late penalty days]]*0.002*Table1[[#This Row],[Block price Total]]&lt;0.06*Table1[[#This Row],[Block price Total]],Table1[[#This Row],['# Late penalty days]]*0.002*Table1[[#This Row],[Block price Total]],Table1[[#This Row],[Block price Total]]*0.06)</f>
        <v>0</v>
      </c>
      <c r="R23" s="25" t="e">
        <f>Table1[[#This Row],[% block delivered]]*Table1[[#This Row],[Block price Total]]*0.5-Table1[[#This Row],[Penalty ISK]]</f>
        <v>#DIV/0!</v>
      </c>
      <c r="W23" s="2">
        <f>IF(Table1[[#This Row],['# penalty days]]*0.002*Table1[[#This Row],[Block price Total]]&lt;Table1[[#This Row],[Block price Total]]*0.06,Table1[[#This Row],['# penalty days]]*0.002*Table1[[#This Row],[Block price Total]],Table1[[#This Row],[Block price Total]]*0.06)+Table1[[#This Row],['# penalty rejected deliveries &gt;2x]]*25000</f>
        <v>0</v>
      </c>
      <c r="X23" s="2" t="e">
        <f>Table1[[#This Row],[% block delivered]]*Table1[[#This Row],[Block price Total]]*0.3-Table1[[#This Row],[Penalty ISK2]]</f>
        <v>#DIV/0!</v>
      </c>
    </row>
    <row r="24" spans="1:24" ht="72" customHeight="1" x14ac:dyDescent="0.4">
      <c r="A24" s="26" t="s">
        <v>58</v>
      </c>
      <c r="B24" s="3" t="e" vm="13">
        <v>#VALUE!</v>
      </c>
      <c r="C24" s="31"/>
      <c r="D24" s="31"/>
      <c r="I24" s="31"/>
      <c r="L24" s="23">
        <v>2240.0047022625099</v>
      </c>
      <c r="M24" t="e">
        <f>Table1[[#This Row],['# imges total]]/Table1[[#This Row],['# images planned]]</f>
        <v>#DIV/0!</v>
      </c>
      <c r="N24" s="24">
        <v>2350</v>
      </c>
      <c r="O24" s="24">
        <f>Table1[[#This Row],[Block rate ISK]]*Table1[[#This Row],[km2 in block2]]</f>
        <v>5264011.0503168982</v>
      </c>
      <c r="Q24" s="24">
        <f>IF(Table1[[#This Row],['# Late penalty days]]*0.002*Table1[[#This Row],[Block price Total]]&lt;0.06*Table1[[#This Row],[Block price Total]],Table1[[#This Row],['# Late penalty days]]*0.002*Table1[[#This Row],[Block price Total]],Table1[[#This Row],[Block price Total]]*0.06)</f>
        <v>0</v>
      </c>
      <c r="R24" s="25" t="e">
        <f>Table1[[#This Row],[% block delivered]]*Table1[[#This Row],[Block price Total]]*0.5-Table1[[#This Row],[Penalty ISK]]</f>
        <v>#DIV/0!</v>
      </c>
      <c r="W24" s="2">
        <f>IF(Table1[[#This Row],['# penalty days]]*0.002*Table1[[#This Row],[Block price Total]]&lt;Table1[[#This Row],[Block price Total]]*0.06,Table1[[#This Row],['# penalty days]]*0.002*Table1[[#This Row],[Block price Total]],Table1[[#This Row],[Block price Total]]*0.06)+Table1[[#This Row],['# penalty rejected deliveries &gt;2x]]*25000</f>
        <v>0</v>
      </c>
      <c r="X24" s="2" t="e">
        <f>Table1[[#This Row],[% block delivered]]*Table1[[#This Row],[Block price Total]]*0.3-Table1[[#This Row],[Penalty ISK2]]</f>
        <v>#DIV/0!</v>
      </c>
    </row>
    <row r="25" spans="1:24" ht="72" customHeight="1" x14ac:dyDescent="0.4">
      <c r="A25" s="26" t="s">
        <v>59</v>
      </c>
      <c r="B25" s="3" t="e" vm="14">
        <v>#VALUE!</v>
      </c>
      <c r="C25" s="31"/>
      <c r="D25" s="31"/>
      <c r="I25" s="31"/>
      <c r="L25" s="23">
        <v>2103.5519745802299</v>
      </c>
      <c r="M25" t="e">
        <f>Table1[[#This Row],['# imges total]]/Table1[[#This Row],['# images planned]]</f>
        <v>#DIV/0!</v>
      </c>
      <c r="N25" s="24">
        <v>2350</v>
      </c>
      <c r="O25" s="24">
        <f>Table1[[#This Row],[Block rate ISK]]*Table1[[#This Row],[km2 in block2]]</f>
        <v>4943347.1402635397</v>
      </c>
      <c r="Q25" s="24">
        <f>IF(Table1[[#This Row],['# Late penalty days]]*0.002*Table1[[#This Row],[Block price Total]]&lt;0.06*Table1[[#This Row],[Block price Total]],Table1[[#This Row],['# Late penalty days]]*0.002*Table1[[#This Row],[Block price Total]],Table1[[#This Row],[Block price Total]]*0.06)</f>
        <v>0</v>
      </c>
      <c r="R25" s="25" t="e">
        <f>Table1[[#This Row],[% block delivered]]*Table1[[#This Row],[Block price Total]]*0.5-Table1[[#This Row],[Penalty ISK]]</f>
        <v>#DIV/0!</v>
      </c>
      <c r="W25" s="2">
        <f>IF(Table1[[#This Row],['# penalty days]]*0.002*Table1[[#This Row],[Block price Total]]&lt;Table1[[#This Row],[Block price Total]]*0.06,Table1[[#This Row],['# penalty days]]*0.002*Table1[[#This Row],[Block price Total]],Table1[[#This Row],[Block price Total]]*0.06)+Table1[[#This Row],['# penalty rejected deliveries &gt;2x]]*25000</f>
        <v>0</v>
      </c>
      <c r="X25" s="2" t="e">
        <f>Table1[[#This Row],[% block delivered]]*Table1[[#This Row],[Block price Total]]*0.3-Table1[[#This Row],[Penalty ISK2]]</f>
        <v>#DIV/0!</v>
      </c>
    </row>
    <row r="26" spans="1:24" ht="72" customHeight="1" x14ac:dyDescent="0.4">
      <c r="A26" s="26" t="s">
        <v>60</v>
      </c>
      <c r="B26" s="3" t="e" vm="15">
        <v>#VALUE!</v>
      </c>
      <c r="C26" s="31"/>
      <c r="D26" s="31"/>
      <c r="I26" s="31"/>
      <c r="L26" s="23">
        <v>1799.7601924221899</v>
      </c>
      <c r="M26" t="e">
        <f>Table1[[#This Row],['# imges total]]/Table1[[#This Row],['# images planned]]</f>
        <v>#DIV/0!</v>
      </c>
      <c r="N26" s="24">
        <v>2350</v>
      </c>
      <c r="O26" s="24">
        <f>Table1[[#This Row],[Block rate ISK]]*Table1[[#This Row],[km2 in block2]]</f>
        <v>4229436.4521921463</v>
      </c>
      <c r="Q26" s="24">
        <f>IF(Table1[[#This Row],['# Late penalty days]]*0.002*Table1[[#This Row],[Block price Total]]&lt;0.06*Table1[[#This Row],[Block price Total]],Table1[[#This Row],['# Late penalty days]]*0.002*Table1[[#This Row],[Block price Total]],Table1[[#This Row],[Block price Total]]*0.06)</f>
        <v>0</v>
      </c>
      <c r="R26" s="25" t="e">
        <f>Table1[[#This Row],[% block delivered]]*Table1[[#This Row],[Block price Total]]*0.5-Table1[[#This Row],[Penalty ISK]]</f>
        <v>#DIV/0!</v>
      </c>
      <c r="W26" s="2">
        <f>IF(Table1[[#This Row],['# penalty days]]*0.002*Table1[[#This Row],[Block price Total]]&lt;Table1[[#This Row],[Block price Total]]*0.06,Table1[[#This Row],['# penalty days]]*0.002*Table1[[#This Row],[Block price Total]],Table1[[#This Row],[Block price Total]]*0.06)+Table1[[#This Row],['# penalty rejected deliveries &gt;2x]]*25000</f>
        <v>0</v>
      </c>
      <c r="X26" s="2" t="e">
        <f>Table1[[#This Row],[% block delivered]]*Table1[[#This Row],[Block price Total]]*0.3-Table1[[#This Row],[Penalty ISK2]]</f>
        <v>#DIV/0!</v>
      </c>
    </row>
    <row r="27" spans="1:24" ht="72" customHeight="1" x14ac:dyDescent="0.4">
      <c r="A27" s="26" t="s">
        <v>61</v>
      </c>
      <c r="B27" s="3" t="e" vm="16">
        <v>#VALUE!</v>
      </c>
      <c r="C27" s="31"/>
      <c r="D27" s="31"/>
      <c r="I27" s="31"/>
      <c r="L27" s="23">
        <v>2400.1004431041601</v>
      </c>
      <c r="M27" t="e">
        <f>Table1[[#This Row],['# imges total]]/Table1[[#This Row],['# images planned]]</f>
        <v>#DIV/0!</v>
      </c>
      <c r="N27" s="24">
        <v>2350</v>
      </c>
      <c r="O27" s="24">
        <f>Table1[[#This Row],[Block rate ISK]]*Table1[[#This Row],[km2 in block2]]</f>
        <v>5640236.0412947759</v>
      </c>
      <c r="Q27" s="24">
        <f>IF(Table1[[#This Row],['# Late penalty days]]*0.002*Table1[[#This Row],[Block price Total]]&lt;0.06*Table1[[#This Row],[Block price Total]],Table1[[#This Row],['# Late penalty days]]*0.002*Table1[[#This Row],[Block price Total]],Table1[[#This Row],[Block price Total]]*0.06)</f>
        <v>0</v>
      </c>
      <c r="R27" s="25" t="e">
        <f>Table1[[#This Row],[% block delivered]]*Table1[[#This Row],[Block price Total]]*0.5-Table1[[#This Row],[Penalty ISK]]</f>
        <v>#DIV/0!</v>
      </c>
      <c r="W27" s="2">
        <f>IF(Table1[[#This Row],['# penalty days]]*0.002*Table1[[#This Row],[Block price Total]]&lt;Table1[[#This Row],[Block price Total]]*0.06,Table1[[#This Row],['# penalty days]]*0.002*Table1[[#This Row],[Block price Total]],Table1[[#This Row],[Block price Total]]*0.06)+Table1[[#This Row],['# penalty rejected deliveries &gt;2x]]*25000</f>
        <v>0</v>
      </c>
      <c r="X27" s="2" t="e">
        <f>Table1[[#This Row],[% block delivered]]*Table1[[#This Row],[Block price Total]]*0.3-Table1[[#This Row],[Penalty ISK2]]</f>
        <v>#DIV/0!</v>
      </c>
    </row>
    <row r="28" spans="1:24" ht="72" customHeight="1" x14ac:dyDescent="0.4">
      <c r="A28" s="26" t="s">
        <v>62</v>
      </c>
      <c r="B28" s="3" t="e" vm="17">
        <v>#VALUE!</v>
      </c>
      <c r="C28" s="41" t="s">
        <v>63</v>
      </c>
      <c r="D28" s="42"/>
      <c r="E28" s="41">
        <v>211</v>
      </c>
      <c r="F28" s="41">
        <v>899</v>
      </c>
      <c r="G28" s="41" t="s">
        <v>18</v>
      </c>
      <c r="H28" s="41" t="s">
        <v>64</v>
      </c>
      <c r="I28" s="31"/>
      <c r="L28" s="23">
        <v>2400.3541880234802</v>
      </c>
      <c r="M28">
        <f>Table1[[#This Row],['# imges total]]/Table1[[#This Row],['# images planned]]</f>
        <v>0.23470522803114571</v>
      </c>
      <c r="N28" s="24">
        <v>2350</v>
      </c>
      <c r="O28" s="24">
        <f>Table1[[#This Row],[Block rate ISK]]*Table1[[#This Row],[km2 in block2]]</f>
        <v>5640832.3418551786</v>
      </c>
      <c r="Q28" s="24">
        <f>IF(Table1[[#This Row],['# Late penalty days]]*0.002*Table1[[#This Row],[Block price Total]]&lt;0.06*Table1[[#This Row],[Block price Total]],Table1[[#This Row],['# Late penalty days]]*0.002*Table1[[#This Row],[Block price Total]],Table1[[#This Row],[Block price Total]]*0.06)</f>
        <v>0</v>
      </c>
      <c r="R28" s="25">
        <f>Table1[[#This Row],[% block delivered]]*Table1[[#This Row],[Block price Total]]*0.5-Table1[[#This Row],[Penalty ISK]]</f>
        <v>661966.42054029065</v>
      </c>
      <c r="W28" s="2">
        <f>IF(Table1[[#This Row],['# penalty days]]*0.002*Table1[[#This Row],[Block price Total]]&lt;Table1[[#This Row],[Block price Total]]*0.06,Table1[[#This Row],['# penalty days]]*0.002*Table1[[#This Row],[Block price Total]],Table1[[#This Row],[Block price Total]]*0.06)+Table1[[#This Row],['# penalty rejected deliveries &gt;2x]]*25000</f>
        <v>0</v>
      </c>
      <c r="X28" s="2">
        <f>Table1[[#This Row],[% block delivered]]*Table1[[#This Row],[Block price Total]]*0.3-Table1[[#This Row],[Penalty ISK2]]</f>
        <v>397179.85232417437</v>
      </c>
    </row>
    <row r="29" spans="1:24" ht="72" customHeight="1" x14ac:dyDescent="0.4">
      <c r="A29" s="26" t="s">
        <v>65</v>
      </c>
      <c r="B29" s="3" t="e" vm="18">
        <v>#VALUE!</v>
      </c>
      <c r="C29" s="31"/>
      <c r="D29" s="31"/>
      <c r="I29" s="31"/>
      <c r="L29" s="23">
        <v>2233.9807056391801</v>
      </c>
      <c r="M29" t="e">
        <f>Table1[[#This Row],['# imges total]]/Table1[[#This Row],['# images planned]]</f>
        <v>#DIV/0!</v>
      </c>
      <c r="N29" s="24">
        <v>2350</v>
      </c>
      <c r="O29" s="24">
        <f>Table1[[#This Row],[Block rate ISK]]*Table1[[#This Row],[km2 in block2]]</f>
        <v>5249854.6582520735</v>
      </c>
      <c r="Q29" s="24">
        <f>IF(Table1[[#This Row],['# Late penalty days]]*0.002*Table1[[#This Row],[Block price Total]]&lt;0.06*Table1[[#This Row],[Block price Total]],Table1[[#This Row],['# Late penalty days]]*0.002*Table1[[#This Row],[Block price Total]],Table1[[#This Row],[Block price Total]]*0.06)</f>
        <v>0</v>
      </c>
      <c r="R29" s="25" t="e">
        <f>Table1[[#This Row],[% block delivered]]*Table1[[#This Row],[Block price Total]]*0.5-Table1[[#This Row],[Penalty ISK]]</f>
        <v>#DIV/0!</v>
      </c>
      <c r="W29" s="2">
        <f>IF(Table1[[#This Row],['# penalty days]]*0.002*Table1[[#This Row],[Block price Total]]&lt;Table1[[#This Row],[Block price Total]]*0.06,Table1[[#This Row],['# penalty days]]*0.002*Table1[[#This Row],[Block price Total]],Table1[[#This Row],[Block price Total]]*0.06)+Table1[[#This Row],['# penalty rejected deliveries &gt;2x]]*25000</f>
        <v>0</v>
      </c>
      <c r="X29" s="2" t="e">
        <f>Table1[[#This Row],[% block delivered]]*Table1[[#This Row],[Block price Total]]*0.3-Table1[[#This Row],[Penalty ISK2]]</f>
        <v>#DIV/0!</v>
      </c>
    </row>
    <row r="30" spans="1:24" ht="72" customHeight="1" x14ac:dyDescent="0.4">
      <c r="A30" s="26" t="s">
        <v>66</v>
      </c>
      <c r="B30" s="3" t="e" vm="19">
        <v>#VALUE!</v>
      </c>
      <c r="C30" s="41" t="s">
        <v>67</v>
      </c>
      <c r="D30" s="41" t="s">
        <v>67</v>
      </c>
      <c r="E30" s="41">
        <v>607</v>
      </c>
      <c r="F30" s="41">
        <v>607</v>
      </c>
      <c r="G30" s="41" t="s">
        <v>18</v>
      </c>
      <c r="H30" s="41" t="s">
        <v>64</v>
      </c>
      <c r="I30" s="31"/>
      <c r="L30" s="23">
        <v>1093.8016637597</v>
      </c>
      <c r="M30">
        <f>Table1[[#This Row],['# imges total]]/Table1[[#This Row],['# images planned]]</f>
        <v>1</v>
      </c>
      <c r="N30" s="24">
        <v>2350</v>
      </c>
      <c r="O30" s="24">
        <f>Table1[[#This Row],[Block rate ISK]]*Table1[[#This Row],[km2 in block2]]</f>
        <v>2570433.9098352948</v>
      </c>
      <c r="Q30" s="24">
        <f>IF(Table1[[#This Row],['# Late penalty days]]*0.002*Table1[[#This Row],[Block price Total]]&lt;0.06*Table1[[#This Row],[Block price Total]],Table1[[#This Row],['# Late penalty days]]*0.002*Table1[[#This Row],[Block price Total]],Table1[[#This Row],[Block price Total]]*0.06)</f>
        <v>0</v>
      </c>
      <c r="R30" s="25">
        <f>Table1[[#This Row],[% block delivered]]*Table1[[#This Row],[Block price Total]]*0.5-Table1[[#This Row],[Penalty ISK]]</f>
        <v>1285216.9549176474</v>
      </c>
      <c r="W30" s="2">
        <f>IF(Table1[[#This Row],['# penalty days]]*0.002*Table1[[#This Row],[Block price Total]]&lt;Table1[[#This Row],[Block price Total]]*0.06,Table1[[#This Row],['# penalty days]]*0.002*Table1[[#This Row],[Block price Total]],Table1[[#This Row],[Block price Total]]*0.06)+Table1[[#This Row],['# penalty rejected deliveries &gt;2x]]*25000</f>
        <v>0</v>
      </c>
      <c r="X30" s="2">
        <f>Table1[[#This Row],[% block delivered]]*Table1[[#This Row],[Block price Total]]*0.3-Table1[[#This Row],[Penalty ISK2]]</f>
        <v>771130.1729505884</v>
      </c>
    </row>
    <row r="31" spans="1:24" ht="72" customHeight="1" x14ac:dyDescent="0.4">
      <c r="A31" s="26" t="s">
        <v>68</v>
      </c>
      <c r="B31" s="3" t="e" vm="20">
        <v>#VALUE!</v>
      </c>
      <c r="C31" s="31"/>
      <c r="D31" s="31"/>
      <c r="I31" s="31"/>
      <c r="L31" s="23">
        <v>1708.68106335316</v>
      </c>
      <c r="M31" t="e">
        <f>Table1[[#This Row],['# imges total]]/Table1[[#This Row],['# images planned]]</f>
        <v>#DIV/0!</v>
      </c>
      <c r="N31" s="24">
        <v>2350</v>
      </c>
      <c r="O31" s="24">
        <f>Table1[[#This Row],[Block rate ISK]]*Table1[[#This Row],[km2 in block2]]</f>
        <v>4015400.4988799258</v>
      </c>
      <c r="Q31" s="24">
        <f>IF(Table1[[#This Row],['# Late penalty days]]*0.002*Table1[[#This Row],[Block price Total]]&lt;0.06*Table1[[#This Row],[Block price Total]],Table1[[#This Row],['# Late penalty days]]*0.002*Table1[[#This Row],[Block price Total]],Table1[[#This Row],[Block price Total]]*0.06)</f>
        <v>0</v>
      </c>
      <c r="R31" s="25" t="e">
        <f>Table1[[#This Row],[% block delivered]]*Table1[[#This Row],[Block price Total]]*0.5-Table1[[#This Row],[Penalty ISK]]</f>
        <v>#DIV/0!</v>
      </c>
      <c r="W31" s="2">
        <f>IF(Table1[[#This Row],['# penalty days]]*0.002*Table1[[#This Row],[Block price Total]]&lt;Table1[[#This Row],[Block price Total]]*0.06,Table1[[#This Row],['# penalty days]]*0.002*Table1[[#This Row],[Block price Total]],Table1[[#This Row],[Block price Total]]*0.06)+Table1[[#This Row],['# penalty rejected deliveries &gt;2x]]*25000</f>
        <v>0</v>
      </c>
      <c r="X31" s="2" t="e">
        <f>Table1[[#This Row],[% block delivered]]*Table1[[#This Row],[Block price Total]]*0.3-Table1[[#This Row],[Penalty ISK2]]</f>
        <v>#DIV/0!</v>
      </c>
    </row>
    <row r="32" spans="1:24" ht="72" customHeight="1" x14ac:dyDescent="0.4">
      <c r="A32" s="26" t="s">
        <v>69</v>
      </c>
      <c r="B32" s="3" t="e" vm="21">
        <v>#VALUE!</v>
      </c>
      <c r="C32" s="31"/>
      <c r="D32" s="31"/>
      <c r="I32" s="31"/>
      <c r="L32" s="23">
        <v>2270.0950634764599</v>
      </c>
      <c r="M32" t="e">
        <f>Table1[[#This Row],['# imges total]]/Table1[[#This Row],['# images planned]]</f>
        <v>#DIV/0!</v>
      </c>
      <c r="N32" s="24">
        <v>2350</v>
      </c>
      <c r="O32" s="24">
        <f>Table1[[#This Row],[Block rate ISK]]*Table1[[#This Row],[km2 in block2]]</f>
        <v>5334723.3991696807</v>
      </c>
      <c r="Q32" s="24">
        <f>IF(Table1[[#This Row],['# Late penalty days]]*0.002*Table1[[#This Row],[Block price Total]]&lt;0.06*Table1[[#This Row],[Block price Total]],Table1[[#This Row],['# Late penalty days]]*0.002*Table1[[#This Row],[Block price Total]],Table1[[#This Row],[Block price Total]]*0.06)</f>
        <v>0</v>
      </c>
      <c r="R32" s="25" t="e">
        <f>Table1[[#This Row],[% block delivered]]*Table1[[#This Row],[Block price Total]]*0.5-Table1[[#This Row],[Penalty ISK]]</f>
        <v>#DIV/0!</v>
      </c>
      <c r="W32" s="2">
        <f>IF(Table1[[#This Row],['# penalty days]]*0.002*Table1[[#This Row],[Block price Total]]&lt;Table1[[#This Row],[Block price Total]]*0.06,Table1[[#This Row],['# penalty days]]*0.002*Table1[[#This Row],[Block price Total]],Table1[[#This Row],[Block price Total]]*0.06)+Table1[[#This Row],['# penalty rejected deliveries &gt;2x]]*25000</f>
        <v>0</v>
      </c>
      <c r="X32" s="2" t="e">
        <f>Table1[[#This Row],[% block delivered]]*Table1[[#This Row],[Block price Total]]*0.3-Table1[[#This Row],[Penalty ISK2]]</f>
        <v>#DIV/0!</v>
      </c>
    </row>
    <row r="33" spans="1:24" ht="72" customHeight="1" x14ac:dyDescent="0.4">
      <c r="A33" s="26" t="s">
        <v>70</v>
      </c>
      <c r="B33" s="3" t="e" vm="22">
        <v>#VALUE!</v>
      </c>
      <c r="C33" s="41" t="s">
        <v>63</v>
      </c>
      <c r="D33" s="42"/>
      <c r="E33" s="41">
        <v>212</v>
      </c>
      <c r="F33" s="41">
        <v>889</v>
      </c>
      <c r="G33" s="41" t="s">
        <v>18</v>
      </c>
      <c r="H33" s="41" t="s">
        <v>64</v>
      </c>
      <c r="I33" s="31"/>
      <c r="L33" s="23">
        <v>2400.3666365450499</v>
      </c>
      <c r="M33">
        <f>Table1[[#This Row],['# imges total]]/Table1[[#This Row],['# images planned]]</f>
        <v>0.23847019122609675</v>
      </c>
      <c r="N33" s="24">
        <v>2350</v>
      </c>
      <c r="O33" s="24">
        <f>Table1[[#This Row],[Block rate ISK]]*Table1[[#This Row],[km2 in block2]]</f>
        <v>5640861.595880867</v>
      </c>
      <c r="Q33" s="24">
        <f>IF(Table1[[#This Row],['# Late penalty days]]*0.002*Table1[[#This Row],[Block price Total]]&lt;0.06*Table1[[#This Row],[Block price Total]],Table1[[#This Row],['# Late penalty days]]*0.002*Table1[[#This Row],[Block price Total]],Table1[[#This Row],[Block price Total]]*0.06)</f>
        <v>0</v>
      </c>
      <c r="R33" s="25">
        <f>Table1[[#This Row],[% block delivered]]*Table1[[#This Row],[Block price Total]]*0.5-Table1[[#This Row],[Penalty ISK]]</f>
        <v>672588.67172482784</v>
      </c>
      <c r="W33" s="2">
        <f>IF(Table1[[#This Row],['# penalty days]]*0.002*Table1[[#This Row],[Block price Total]]&lt;Table1[[#This Row],[Block price Total]]*0.06,Table1[[#This Row],['# penalty days]]*0.002*Table1[[#This Row],[Block price Total]],Table1[[#This Row],[Block price Total]]*0.06)+Table1[[#This Row],['# penalty rejected deliveries &gt;2x]]*25000</f>
        <v>0</v>
      </c>
      <c r="X33" s="2">
        <f>Table1[[#This Row],[% block delivered]]*Table1[[#This Row],[Block price Total]]*0.3-Table1[[#This Row],[Penalty ISK2]]</f>
        <v>403553.20303489669</v>
      </c>
    </row>
    <row r="34" spans="1:24" ht="72" customHeight="1" x14ac:dyDescent="0.4">
      <c r="A34" s="26" t="s">
        <v>71</v>
      </c>
      <c r="B34" s="3" t="e" vm="23">
        <v>#VALUE!</v>
      </c>
      <c r="C34" s="41" t="s">
        <v>67</v>
      </c>
      <c r="D34" s="41" t="s">
        <v>67</v>
      </c>
      <c r="E34" s="41">
        <v>288</v>
      </c>
      <c r="F34" s="41">
        <v>288</v>
      </c>
      <c r="G34" s="41" t="s">
        <v>18</v>
      </c>
      <c r="H34" s="41" t="s">
        <v>64</v>
      </c>
      <c r="I34" s="31"/>
      <c r="L34" s="23">
        <v>564.04801477764795</v>
      </c>
      <c r="M34">
        <f>Table1[[#This Row],['# imges total]]/Table1[[#This Row],['# images planned]]</f>
        <v>1</v>
      </c>
      <c r="N34" s="24">
        <v>2350</v>
      </c>
      <c r="O34" s="24">
        <f>Table1[[#This Row],[Block rate ISK]]*Table1[[#This Row],[km2 in block2]]</f>
        <v>1325512.8347274726</v>
      </c>
      <c r="Q34" s="24">
        <f>IF(Table1[[#This Row],['# Late penalty days]]*0.002*Table1[[#This Row],[Block price Total]]&lt;0.06*Table1[[#This Row],[Block price Total]],Table1[[#This Row],['# Late penalty days]]*0.002*Table1[[#This Row],[Block price Total]],Table1[[#This Row],[Block price Total]]*0.06)</f>
        <v>0</v>
      </c>
      <c r="R34" s="25">
        <f>Table1[[#This Row],[% block delivered]]*Table1[[#This Row],[Block price Total]]*0.5-Table1[[#This Row],[Penalty ISK]]</f>
        <v>662756.41736373631</v>
      </c>
      <c r="W34" s="2">
        <f>IF(Table1[[#This Row],['# penalty days]]*0.002*Table1[[#This Row],[Block price Total]]&lt;Table1[[#This Row],[Block price Total]]*0.06,Table1[[#This Row],['# penalty days]]*0.002*Table1[[#This Row],[Block price Total]],Table1[[#This Row],[Block price Total]]*0.06)+Table1[[#This Row],['# penalty rejected deliveries &gt;2x]]*25000</f>
        <v>0</v>
      </c>
      <c r="X34" s="2">
        <f>Table1[[#This Row],[% block delivered]]*Table1[[#This Row],[Block price Total]]*0.3-Table1[[#This Row],[Penalty ISK2]]</f>
        <v>397653.85041824175</v>
      </c>
    </row>
    <row r="35" spans="1:24" ht="72" customHeight="1" x14ac:dyDescent="0.4">
      <c r="A35" s="26" t="s">
        <v>72</v>
      </c>
      <c r="B35" s="3" t="e" vm="24">
        <v>#VALUE!</v>
      </c>
      <c r="C35" s="41" t="s">
        <v>67</v>
      </c>
      <c r="D35" s="41" t="s">
        <v>67</v>
      </c>
      <c r="E35" s="41">
        <v>595</v>
      </c>
      <c r="F35" s="41">
        <v>595</v>
      </c>
      <c r="G35" s="41" t="s">
        <v>18</v>
      </c>
      <c r="H35" s="41" t="s">
        <v>64</v>
      </c>
      <c r="I35" s="31"/>
      <c r="L35" s="23">
        <v>1367.2117545585099</v>
      </c>
      <c r="M35">
        <f>Table1[[#This Row],['# imges total]]/Table1[[#This Row],['# images planned]]</f>
        <v>1</v>
      </c>
      <c r="N35" s="24">
        <v>2350</v>
      </c>
      <c r="O35" s="24">
        <f>Table1[[#This Row],[Block rate ISK]]*Table1[[#This Row],[km2 in block2]]</f>
        <v>3212947.6232124981</v>
      </c>
      <c r="Q35" s="24">
        <f>IF(Table1[[#This Row],['# Late penalty days]]*0.002*Table1[[#This Row],[Block price Total]]&lt;0.06*Table1[[#This Row],[Block price Total]],Table1[[#This Row],['# Late penalty days]]*0.002*Table1[[#This Row],[Block price Total]],Table1[[#This Row],[Block price Total]]*0.06)</f>
        <v>0</v>
      </c>
      <c r="R35" s="25">
        <f>Table1[[#This Row],[% block delivered]]*Table1[[#This Row],[Block price Total]]*0.5-Table1[[#This Row],[Penalty ISK]]</f>
        <v>1606473.8116062491</v>
      </c>
      <c r="W35" s="2">
        <f>IF(Table1[[#This Row],['# penalty days]]*0.002*Table1[[#This Row],[Block price Total]]&lt;Table1[[#This Row],[Block price Total]]*0.06,Table1[[#This Row],['# penalty days]]*0.002*Table1[[#This Row],[Block price Total]],Table1[[#This Row],[Block price Total]]*0.06)+Table1[[#This Row],['# penalty rejected deliveries &gt;2x]]*25000</f>
        <v>0</v>
      </c>
      <c r="X35" s="2">
        <f>Table1[[#This Row],[% block delivered]]*Table1[[#This Row],[Block price Total]]*0.3-Table1[[#This Row],[Penalty ISK2]]</f>
        <v>963884.28696374944</v>
      </c>
    </row>
    <row r="36" spans="1:24" ht="72" customHeight="1" x14ac:dyDescent="0.4">
      <c r="A36" s="26" t="s">
        <v>73</v>
      </c>
      <c r="B36" s="3" t="e" vm="25">
        <v>#VALUE!</v>
      </c>
      <c r="C36" s="41" t="s">
        <v>67</v>
      </c>
      <c r="D36" s="41" t="s">
        <v>67</v>
      </c>
      <c r="E36" s="41">
        <v>557</v>
      </c>
      <c r="F36" s="41">
        <v>557</v>
      </c>
      <c r="G36" s="41" t="s">
        <v>18</v>
      </c>
      <c r="H36" s="41" t="s">
        <v>64</v>
      </c>
      <c r="I36" s="31"/>
      <c r="L36" s="23">
        <v>1207.1940368261401</v>
      </c>
      <c r="M36">
        <f>Table1[[#This Row],['# imges total]]/Table1[[#This Row],['# images planned]]</f>
        <v>1</v>
      </c>
      <c r="N36" s="24">
        <v>2350</v>
      </c>
      <c r="O36" s="24">
        <f>Table1[[#This Row],[Block rate ISK]]*Table1[[#This Row],[km2 in block2]]</f>
        <v>2836905.9865414291</v>
      </c>
      <c r="Q36" s="24">
        <f>IF(Table1[[#This Row],['# Late penalty days]]*0.002*Table1[[#This Row],[Block price Total]]&lt;0.06*Table1[[#This Row],[Block price Total]],Table1[[#This Row],['# Late penalty days]]*0.002*Table1[[#This Row],[Block price Total]],Table1[[#This Row],[Block price Total]]*0.06)</f>
        <v>0</v>
      </c>
      <c r="R36" s="25">
        <f>Table1[[#This Row],[% block delivered]]*Table1[[#This Row],[Block price Total]]*0.5-Table1[[#This Row],[Penalty ISK]]</f>
        <v>1418452.9932707145</v>
      </c>
      <c r="W36" s="2">
        <f>IF(Table1[[#This Row],['# penalty days]]*0.002*Table1[[#This Row],[Block price Total]]&lt;Table1[[#This Row],[Block price Total]]*0.06,Table1[[#This Row],['# penalty days]]*0.002*Table1[[#This Row],[Block price Total]],Table1[[#This Row],[Block price Total]]*0.06)+Table1[[#This Row],['# penalty rejected deliveries &gt;2x]]*25000</f>
        <v>0</v>
      </c>
      <c r="X36" s="2">
        <f>Table1[[#This Row],[% block delivered]]*Table1[[#This Row],[Block price Total]]*0.3-Table1[[#This Row],[Penalty ISK2]]</f>
        <v>851071.79596242867</v>
      </c>
    </row>
    <row r="37" spans="1:24" ht="72" customHeight="1" x14ac:dyDescent="0.4">
      <c r="A37" s="26" t="s">
        <v>74</v>
      </c>
      <c r="B37" s="3" t="e" vm="26">
        <v>#VALUE!</v>
      </c>
      <c r="C37" s="31"/>
      <c r="D37" s="31"/>
      <c r="I37" s="31"/>
      <c r="L37" s="23">
        <v>1981.8347387000199</v>
      </c>
      <c r="M37" t="e">
        <f>Table1[[#This Row],['# imges total]]/Table1[[#This Row],['# images planned]]</f>
        <v>#DIV/0!</v>
      </c>
      <c r="N37" s="24">
        <v>2350</v>
      </c>
      <c r="O37" s="24">
        <f>Table1[[#This Row],[Block rate ISK]]*Table1[[#This Row],[km2 in block2]]</f>
        <v>4657311.6359450463</v>
      </c>
      <c r="Q37" s="24">
        <f>IF(Table1[[#This Row],['# Late penalty days]]*0.002*Table1[[#This Row],[Block price Total]]&lt;0.06*Table1[[#This Row],[Block price Total]],Table1[[#This Row],['# Late penalty days]]*0.002*Table1[[#This Row],[Block price Total]],Table1[[#This Row],[Block price Total]]*0.06)</f>
        <v>0</v>
      </c>
      <c r="R37" s="25" t="e">
        <f>Table1[[#This Row],[% block delivered]]*Table1[[#This Row],[Block price Total]]*0.5-Table1[[#This Row],[Penalty ISK]]</f>
        <v>#DIV/0!</v>
      </c>
      <c r="W37" s="2">
        <f>IF(Table1[[#This Row],['# penalty days]]*0.002*Table1[[#This Row],[Block price Total]]&lt;Table1[[#This Row],[Block price Total]]*0.06,Table1[[#This Row],['# penalty days]]*0.002*Table1[[#This Row],[Block price Total]],Table1[[#This Row],[Block price Total]]*0.06)+Table1[[#This Row],['# penalty rejected deliveries &gt;2x]]*25000</f>
        <v>0</v>
      </c>
      <c r="X37" s="2" t="e">
        <f>Table1[[#This Row],[% block delivered]]*Table1[[#This Row],[Block price Total]]*0.3-Table1[[#This Row],[Penalty ISK2]]</f>
        <v>#DIV/0!</v>
      </c>
    </row>
    <row r="38" spans="1:24" ht="72" customHeight="1" x14ac:dyDescent="0.4">
      <c r="A38" s="26" t="s">
        <v>75</v>
      </c>
      <c r="B38" s="3" t="e" vm="27">
        <v>#VALUE!</v>
      </c>
      <c r="C38" s="31"/>
      <c r="D38" s="31"/>
      <c r="I38" s="31"/>
      <c r="L38" s="23">
        <v>2014.24824851576</v>
      </c>
      <c r="M38" t="e">
        <f>Table1[[#This Row],['# imges total]]/Table1[[#This Row],['# images planned]]</f>
        <v>#DIV/0!</v>
      </c>
      <c r="N38" s="24">
        <v>2350</v>
      </c>
      <c r="O38" s="24">
        <f>Table1[[#This Row],[Block rate ISK]]*Table1[[#This Row],[km2 in block2]]</f>
        <v>4733483.384012036</v>
      </c>
      <c r="Q38" s="24">
        <f>IF(Table1[[#This Row],['# Late penalty days]]*0.002*Table1[[#This Row],[Block price Total]]&lt;0.06*Table1[[#This Row],[Block price Total]],Table1[[#This Row],['# Late penalty days]]*0.002*Table1[[#This Row],[Block price Total]],Table1[[#This Row],[Block price Total]]*0.06)</f>
        <v>0</v>
      </c>
      <c r="R38" s="25" t="e">
        <f>Table1[[#This Row],[% block delivered]]*Table1[[#This Row],[Block price Total]]*0.5-Table1[[#This Row],[Penalty ISK]]</f>
        <v>#DIV/0!</v>
      </c>
      <c r="W38" s="2">
        <f>IF(Table1[[#This Row],['# penalty days]]*0.002*Table1[[#This Row],[Block price Total]]&lt;Table1[[#This Row],[Block price Total]]*0.06,Table1[[#This Row],['# penalty days]]*0.002*Table1[[#This Row],[Block price Total]],Table1[[#This Row],[Block price Total]]*0.06)+Table1[[#This Row],['# penalty rejected deliveries &gt;2x]]*25000</f>
        <v>0</v>
      </c>
      <c r="X38" s="2" t="e">
        <f>Table1[[#This Row],[% block delivered]]*Table1[[#This Row],[Block price Total]]*0.3-Table1[[#This Row],[Penalty ISK2]]</f>
        <v>#DIV/0!</v>
      </c>
    </row>
    <row r="39" spans="1:24" ht="72" customHeight="1" x14ac:dyDescent="0.4">
      <c r="A39" s="26" t="s">
        <v>76</v>
      </c>
      <c r="B39" s="3" t="e" vm="28">
        <v>#VALUE!</v>
      </c>
      <c r="C39" s="31"/>
      <c r="D39" s="31"/>
      <c r="I39" s="31"/>
      <c r="L39" s="23">
        <v>1908.23408337416</v>
      </c>
      <c r="M39" t="e">
        <f>Table1[[#This Row],['# imges total]]/Table1[[#This Row],['# images planned]]</f>
        <v>#DIV/0!</v>
      </c>
      <c r="N39" s="24">
        <v>2350</v>
      </c>
      <c r="O39" s="24">
        <f>Table1[[#This Row],[Block rate ISK]]*Table1[[#This Row],[km2 in block2]]</f>
        <v>4484350.0959292762</v>
      </c>
      <c r="Q39" s="24">
        <f>IF(Table1[[#This Row],['# Late penalty days]]*0.002*Table1[[#This Row],[Block price Total]]&lt;0.06*Table1[[#This Row],[Block price Total]],Table1[[#This Row],['# Late penalty days]]*0.002*Table1[[#This Row],[Block price Total]],Table1[[#This Row],[Block price Total]]*0.06)</f>
        <v>0</v>
      </c>
      <c r="R39" s="25" t="e">
        <f>Table1[[#This Row],[% block delivered]]*Table1[[#This Row],[Block price Total]]*0.5-Table1[[#This Row],[Penalty ISK]]</f>
        <v>#DIV/0!</v>
      </c>
      <c r="W39" s="2">
        <f>IF(Table1[[#This Row],['# penalty days]]*0.002*Table1[[#This Row],[Block price Total]]&lt;Table1[[#This Row],[Block price Total]]*0.06,Table1[[#This Row],['# penalty days]]*0.002*Table1[[#This Row],[Block price Total]],Table1[[#This Row],[Block price Total]]*0.06)+Table1[[#This Row],['# penalty rejected deliveries &gt;2x]]*25000</f>
        <v>0</v>
      </c>
      <c r="X39" s="2" t="e">
        <f>Table1[[#This Row],[% block delivered]]*Table1[[#This Row],[Block price Total]]*0.3-Table1[[#This Row],[Penalty ISK2]]</f>
        <v>#DIV/0!</v>
      </c>
    </row>
    <row r="40" spans="1:24" ht="72" customHeight="1" x14ac:dyDescent="0.4">
      <c r="A40" s="26" t="s">
        <v>77</v>
      </c>
      <c r="B40" s="3" t="e" vm="29">
        <v>#VALUE!</v>
      </c>
      <c r="C40" s="31"/>
      <c r="D40" s="31"/>
      <c r="I40" s="31"/>
      <c r="L40" s="23">
        <v>2517.02165556811</v>
      </c>
      <c r="M40" t="e">
        <f>Table1[[#This Row],['# imges total]]/Table1[[#This Row],['# images planned]]</f>
        <v>#DIV/0!</v>
      </c>
      <c r="N40" s="24">
        <v>2350</v>
      </c>
      <c r="O40" s="24">
        <f>Table1[[#This Row],[Block rate ISK]]*Table1[[#This Row],[km2 in block2]]</f>
        <v>5915000.8905850584</v>
      </c>
      <c r="Q40" s="24">
        <f>IF(Table1[[#This Row],['# Late penalty days]]*0.002*Table1[[#This Row],[Block price Total]]&lt;0.06*Table1[[#This Row],[Block price Total]],Table1[[#This Row],['# Late penalty days]]*0.002*Table1[[#This Row],[Block price Total]],Table1[[#This Row],[Block price Total]]*0.06)</f>
        <v>0</v>
      </c>
      <c r="R40" s="25" t="e">
        <f>Table1[[#This Row],[% block delivered]]*Table1[[#This Row],[Block price Total]]*0.5-Table1[[#This Row],[Penalty ISK]]</f>
        <v>#DIV/0!</v>
      </c>
      <c r="W40" s="2">
        <f>IF(Table1[[#This Row],['# penalty days]]*0.002*Table1[[#This Row],[Block price Total]]&lt;Table1[[#This Row],[Block price Total]]*0.06,Table1[[#This Row],['# penalty days]]*0.002*Table1[[#This Row],[Block price Total]],Table1[[#This Row],[Block price Total]]*0.06)+Table1[[#This Row],['# penalty rejected deliveries &gt;2x]]*25000</f>
        <v>0</v>
      </c>
      <c r="X40" s="2" t="e">
        <f>Table1[[#This Row],[% block delivered]]*Table1[[#This Row],[Block price Total]]*0.3-Table1[[#This Row],[Penalty ISK2]]</f>
        <v>#DIV/0!</v>
      </c>
    </row>
    <row r="41" spans="1:24" ht="72" customHeight="1" x14ac:dyDescent="0.4">
      <c r="A41" s="26" t="s">
        <v>78</v>
      </c>
      <c r="B41" s="3" t="e" vm="30">
        <v>#VALUE!</v>
      </c>
      <c r="C41" s="31"/>
      <c r="D41" s="31"/>
      <c r="I41" s="31"/>
      <c r="L41" s="23">
        <v>1124.0206953258</v>
      </c>
      <c r="M41" t="e">
        <f>Table1[[#This Row],['# imges total]]/Table1[[#This Row],['# images planned]]</f>
        <v>#DIV/0!</v>
      </c>
      <c r="N41" s="24">
        <v>2350</v>
      </c>
      <c r="O41" s="24">
        <f>Table1[[#This Row],[Block rate ISK]]*Table1[[#This Row],[km2 in block2]]</f>
        <v>2641448.63401563</v>
      </c>
      <c r="Q41" s="24">
        <f>IF(Table1[[#This Row],['# Late penalty days]]*0.002*Table1[[#This Row],[Block price Total]]&lt;0.06*Table1[[#This Row],[Block price Total]],Table1[[#This Row],['# Late penalty days]]*0.002*Table1[[#This Row],[Block price Total]],Table1[[#This Row],[Block price Total]]*0.06)</f>
        <v>0</v>
      </c>
      <c r="R41" s="25" t="e">
        <f>Table1[[#This Row],[% block delivered]]*Table1[[#This Row],[Block price Total]]*0.5-Table1[[#This Row],[Penalty ISK]]</f>
        <v>#DIV/0!</v>
      </c>
      <c r="W41" s="2">
        <f>IF(Table1[[#This Row],['# penalty days]]*0.002*Table1[[#This Row],[Block price Total]]&lt;Table1[[#This Row],[Block price Total]]*0.06,Table1[[#This Row],['# penalty days]]*0.002*Table1[[#This Row],[Block price Total]],Table1[[#This Row],[Block price Total]]*0.06)+Table1[[#This Row],['# penalty rejected deliveries &gt;2x]]*25000</f>
        <v>0</v>
      </c>
      <c r="X41" s="2" t="e">
        <f>Table1[[#This Row],[% block delivered]]*Table1[[#This Row],[Block price Total]]*0.3-Table1[[#This Row],[Penalty ISK2]]</f>
        <v>#DIV/0!</v>
      </c>
    </row>
    <row r="42" spans="1:24" x14ac:dyDescent="0.4">
      <c r="A42" s="26"/>
      <c r="B42" s="3"/>
      <c r="L42" s="23"/>
      <c r="N42" s="24"/>
      <c r="O42" s="24"/>
      <c r="Q42" s="24"/>
      <c r="R42" s="29"/>
    </row>
    <row r="43" spans="1:24" x14ac:dyDescent="0.4">
      <c r="A43" s="26"/>
      <c r="B43" s="3"/>
      <c r="L43" s="23"/>
      <c r="N43" s="24"/>
      <c r="O43" s="24"/>
      <c r="Q43" s="24"/>
      <c r="R43" s="29"/>
    </row>
    <row r="44" spans="1:24" x14ac:dyDescent="0.4">
      <c r="A44" s="26"/>
      <c r="B44" s="3"/>
      <c r="L44" s="23">
        <f>SUM(Table1[km2 in block2])</f>
        <v>56287.033382431277</v>
      </c>
      <c r="N44" s="24"/>
      <c r="O44" s="24">
        <f>SUM(Table1[Block price Total])</f>
        <v>133063191.43244913</v>
      </c>
      <c r="Q44" s="24"/>
      <c r="R44" s="29"/>
    </row>
    <row r="45" spans="1:24" ht="15" thickBot="1" x14ac:dyDescent="0.45"/>
    <row r="46" spans="1:24" ht="14.25" customHeight="1" x14ac:dyDescent="0.4">
      <c r="H46" s="27"/>
      <c r="I46" s="27"/>
      <c r="J46" s="49" t="s">
        <v>79</v>
      </c>
      <c r="K46" s="10" t="s">
        <v>80</v>
      </c>
      <c r="L46" s="11"/>
      <c r="M46" s="28" t="e" cm="1">
        <f t="array" ref="M46">SUM(Table1[km2 in block2]*Table1[% block delivered])</f>
        <v>#DIV/0!</v>
      </c>
      <c r="N46" s="12" t="s">
        <v>13</v>
      </c>
    </row>
    <row r="47" spans="1:24" ht="14.25" customHeight="1" x14ac:dyDescent="0.4">
      <c r="H47" s="27"/>
      <c r="I47" s="27"/>
      <c r="J47" s="49"/>
      <c r="K47" s="13" t="s">
        <v>81</v>
      </c>
      <c r="L47" s="2"/>
      <c r="M47" s="2" t="e">
        <f>M46/B7*100</f>
        <v>#DIV/0!</v>
      </c>
      <c r="N47" s="14"/>
    </row>
    <row r="48" spans="1:24" ht="14.25" customHeight="1" x14ac:dyDescent="0.4">
      <c r="H48" s="27"/>
      <c r="I48" s="27"/>
      <c r="J48" s="49"/>
      <c r="K48" s="13" t="s">
        <v>82</v>
      </c>
      <c r="L48" s="2"/>
      <c r="M48" s="2" t="e" cm="1">
        <f t="array" ref="M48">IF(M47&gt;33,YES,NO)</f>
        <v>#DIV/0!</v>
      </c>
      <c r="N48" s="14"/>
    </row>
    <row r="49" spans="8:15" ht="14.7" customHeight="1" thickBot="1" x14ac:dyDescent="0.45">
      <c r="H49" s="27"/>
      <c r="I49" s="27"/>
      <c r="J49" s="49"/>
      <c r="K49" s="15" t="s">
        <v>83</v>
      </c>
      <c r="L49" s="16"/>
      <c r="M49" s="16" t="e" cm="1">
        <f t="array" ref="M49">IF(AND(M48=YES, M48&lt;50), 1, 3)</f>
        <v>#DIV/0!</v>
      </c>
      <c r="N49" s="17" t="s">
        <v>84</v>
      </c>
      <c r="O49" s="2" t="s">
        <v>85</v>
      </c>
    </row>
    <row r="50" spans="8:15" x14ac:dyDescent="0.4">
      <c r="J50" s="4"/>
    </row>
  </sheetData>
  <mergeCells count="4">
    <mergeCell ref="S9:Y9"/>
    <mergeCell ref="C9:R9"/>
    <mergeCell ref="J46:J49"/>
    <mergeCell ref="B1:H1"/>
  </mergeCells>
  <phoneticPr fontId="8" type="noConversion"/>
  <dataValidations count="2">
    <dataValidation type="list" allowBlank="1" showInputMessage="1" showErrorMessage="1" sqref="S42:S44" xr:uid="{66853A55-8A8C-4A62-8945-3AC93EED08E5}">
      <formula1>$AA$1:$AA$3</formula1>
    </dataValidation>
    <dataValidation type="list" allowBlank="1" showInputMessage="1" showErrorMessage="1" sqref="T12:T41 J10 J12:J41 T10" xr:uid="{15E6B548-F5F0-4820-A08C-4FC09807CE6E}">
      <formula1>$AA$1:$AA$2</formula1>
    </dataValidation>
  </dataValidations>
  <pageMargins left="0.7" right="0.7" top="0.75" bottom="0.75" header="0.3" footer="0.3"/>
  <pageSetup orientation="portrait" verticalDpi="0" r:id="rId1"/>
  <ignoredErrors>
    <ignoredError sqref="O15" calculatedColumn="1"/>
  </ignoredErrors>
  <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0ABE2E-ACDC-4E6B-9F8B-4F026D910410}">
  <dimension ref="A3:G3"/>
  <sheetViews>
    <sheetView workbookViewId="0">
      <selection activeCell="A6" sqref="A6"/>
    </sheetView>
  </sheetViews>
  <sheetFormatPr defaultRowHeight="14.6" x14ac:dyDescent="0.4"/>
  <cols>
    <col min="1" max="1" width="11.84375" bestFit="1" customWidth="1"/>
    <col min="2" max="4" width="11.84375" customWidth="1"/>
    <col min="5" max="5" width="20" bestFit="1" customWidth="1"/>
    <col min="6" max="6" width="20.61328125" bestFit="1" customWidth="1"/>
  </cols>
  <sheetData>
    <row r="3" spans="1:7" x14ac:dyDescent="0.4">
      <c r="A3" s="7" t="s">
        <v>86</v>
      </c>
      <c r="B3" s="7" t="s">
        <v>87</v>
      </c>
      <c r="C3" s="7" t="s">
        <v>88</v>
      </c>
      <c r="D3" s="7" t="s">
        <v>89</v>
      </c>
      <c r="E3" s="7" t="s">
        <v>90</v>
      </c>
      <c r="F3" s="7" t="s">
        <v>91</v>
      </c>
      <c r="G3" s="7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Overview</vt:lpstr>
      <vt:lpstr>Final Disc delivery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Sydney R. Gunnarson</dc:creator>
  <cp:keywords/>
  <dc:description/>
  <cp:lastModifiedBy>Sydney R. Gunnarson- NATT</cp:lastModifiedBy>
  <cp:revision/>
  <dcterms:created xsi:type="dcterms:W3CDTF">2024-07-03T11:53:47Z</dcterms:created>
  <dcterms:modified xsi:type="dcterms:W3CDTF">2026-08-28T14:29:21Z</dcterms:modified>
  <cp:category/>
  <cp:contentStatus/>
</cp:coreProperties>
</file>